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pi\Desktop\"/>
    </mc:Choice>
  </mc:AlternateContent>
  <bookViews>
    <workbookView xWindow="0" yWindow="0" windowWidth="20490" windowHeight="7530"/>
  </bookViews>
  <sheets>
    <sheet name="Citation" sheetId="4" r:id="rId1"/>
    <sheet name="MVMA data" sheetId="1" r:id="rId2"/>
    <sheet name="Mexico data" sheetId="2" r:id="rId3"/>
    <sheet name="Factor U_Mexico" sheetId="3" r:id="rId4"/>
  </sheets>
  <externalReferences>
    <externalReference r:id="rId5"/>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7" i="2" l="1"/>
  <c r="X46" i="2"/>
  <c r="X45" i="2"/>
  <c r="K148" i="1"/>
  <c r="J144" i="1"/>
  <c r="H148" i="1"/>
  <c r="E148" i="1"/>
  <c r="L144" i="1"/>
  <c r="K144" i="1"/>
  <c r="I147" i="1"/>
  <c r="H147" i="1"/>
  <c r="G147" i="1"/>
  <c r="D147" i="1"/>
  <c r="F147" i="1"/>
  <c r="E147" i="1"/>
  <c r="AW86" i="1"/>
  <c r="AV86" i="1"/>
  <c r="AW92" i="1"/>
  <c r="AV92" i="1"/>
  <c r="AU92" i="1"/>
  <c r="AW91" i="1"/>
  <c r="AV91" i="1"/>
  <c r="AU91" i="1"/>
  <c r="AW90" i="1"/>
  <c r="AW89" i="1"/>
  <c r="AV90" i="1"/>
  <c r="AV89" i="1"/>
  <c r="AV84" i="1"/>
  <c r="AU90" i="1"/>
  <c r="AU89" i="1"/>
  <c r="AV83" i="1"/>
  <c r="AW83" i="1"/>
  <c r="AV85" i="1"/>
  <c r="AW85" i="1"/>
  <c r="AW84" i="1"/>
  <c r="I144" i="1"/>
  <c r="H144" i="1"/>
  <c r="G144" i="1"/>
  <c r="F144" i="1"/>
  <c r="E144" i="1"/>
  <c r="D144"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80" i="1"/>
  <c r="M12" i="3"/>
  <c r="M11" i="3"/>
  <c r="O60" i="3"/>
  <c r="B60" i="3"/>
  <c r="B61" i="3"/>
  <c r="C60" i="3"/>
  <c r="C61" i="3"/>
  <c r="D60" i="3"/>
  <c r="D61" i="3"/>
  <c r="E60" i="3"/>
  <c r="E61" i="3"/>
  <c r="F60" i="3"/>
  <c r="F61" i="3"/>
  <c r="G60" i="3"/>
  <c r="G61" i="3"/>
  <c r="H60" i="3"/>
  <c r="H61" i="3"/>
  <c r="I60" i="3"/>
  <c r="I61" i="3"/>
  <c r="J60" i="3"/>
  <c r="J61" i="3"/>
  <c r="K60" i="3"/>
  <c r="K61" i="3"/>
  <c r="L60" i="3"/>
  <c r="L61" i="3"/>
  <c r="M60" i="3"/>
  <c r="M61" i="3"/>
  <c r="N60" i="3"/>
  <c r="N61" i="3"/>
  <c r="O61" i="3"/>
  <c r="M9" i="3"/>
  <c r="M10" i="3"/>
  <c r="G5" i="3"/>
  <c r="B73" i="2"/>
  <c r="C73" i="2"/>
  <c r="D73" i="2"/>
  <c r="E73" i="2"/>
  <c r="D66" i="2"/>
  <c r="E66" i="2"/>
  <c r="F66" i="2"/>
  <c r="G66" i="2"/>
  <c r="H58" i="2"/>
  <c r="O58" i="2"/>
  <c r="I58" i="2"/>
  <c r="P58" i="2"/>
  <c r="J58" i="2"/>
  <c r="Q58" i="2"/>
  <c r="R58" i="2"/>
  <c r="M58" i="2"/>
  <c r="L58" i="2"/>
  <c r="K58" i="2"/>
  <c r="AI3" i="1"/>
  <c r="AJ3" i="1"/>
  <c r="BC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C3" i="1"/>
  <c r="BA3" i="1"/>
  <c r="AL129" i="1"/>
  <c r="AT3" i="1"/>
  <c r="E4" i="1"/>
  <c r="AT4" i="1"/>
  <c r="E5" i="1"/>
  <c r="AT5" i="1"/>
  <c r="E6" i="1"/>
  <c r="AT6" i="1"/>
  <c r="E7" i="1"/>
  <c r="AT7" i="1"/>
  <c r="E8" i="1"/>
  <c r="AT8" i="1"/>
  <c r="E9" i="1"/>
  <c r="AT9" i="1"/>
  <c r="E10" i="1"/>
  <c r="AT10" i="1"/>
  <c r="E11" i="1"/>
  <c r="AT11" i="1"/>
  <c r="E12" i="1"/>
  <c r="AT12" i="1"/>
  <c r="E13" i="1"/>
  <c r="AT13" i="1"/>
  <c r="E14" i="1"/>
  <c r="AT14" i="1"/>
  <c r="E15" i="1"/>
  <c r="AT15" i="1"/>
  <c r="E16" i="1"/>
  <c r="AT16" i="1"/>
  <c r="E17" i="1"/>
  <c r="AT17" i="1"/>
  <c r="E18"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D80" i="1"/>
  <c r="AW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3" i="1"/>
  <c r="AW3" i="1"/>
  <c r="Y46" i="2"/>
  <c r="Y48" i="2"/>
  <c r="Y45" i="2"/>
  <c r="X47" i="2"/>
  <c r="X48" i="2"/>
  <c r="AL3" i="1"/>
  <c r="AK3" i="1"/>
  <c r="AM3" i="1"/>
  <c r="AN3" i="1"/>
  <c r="AI4" i="1"/>
  <c r="AJ4" i="1"/>
  <c r="AL4" i="1"/>
  <c r="AK4" i="1"/>
  <c r="AM4" i="1"/>
  <c r="AN4" i="1"/>
  <c r="AI5" i="1"/>
  <c r="AJ5" i="1"/>
  <c r="AL5" i="1"/>
  <c r="AK5" i="1"/>
  <c r="AM5" i="1"/>
  <c r="AN5" i="1"/>
  <c r="AI6" i="1"/>
  <c r="AJ6" i="1"/>
  <c r="AL6" i="1"/>
  <c r="AK6" i="1"/>
  <c r="AM6" i="1"/>
  <c r="AN6" i="1"/>
  <c r="AI7" i="1"/>
  <c r="AJ7" i="1"/>
  <c r="AL7" i="1"/>
  <c r="AK7" i="1"/>
  <c r="AM7" i="1"/>
  <c r="AN7" i="1"/>
  <c r="AI8" i="1"/>
  <c r="AJ8" i="1"/>
  <c r="AL8" i="1"/>
  <c r="AK8" i="1"/>
  <c r="AM8" i="1"/>
  <c r="AN8" i="1"/>
  <c r="AI9" i="1"/>
  <c r="AJ9" i="1"/>
  <c r="AL9" i="1"/>
  <c r="AK9" i="1"/>
  <c r="AM9" i="1"/>
  <c r="AN9" i="1"/>
  <c r="AI10" i="1"/>
  <c r="AJ10" i="1"/>
  <c r="AL10" i="1"/>
  <c r="AK10" i="1"/>
  <c r="AM10" i="1"/>
  <c r="AN10" i="1"/>
  <c r="AI11" i="1"/>
  <c r="AJ11" i="1"/>
  <c r="AL11" i="1"/>
  <c r="AK11" i="1"/>
  <c r="AM11" i="1"/>
  <c r="AN11" i="1"/>
  <c r="AI12" i="1"/>
  <c r="AJ12" i="1"/>
  <c r="AL12" i="1"/>
  <c r="AK12" i="1"/>
  <c r="AM12" i="1"/>
  <c r="AN12" i="1"/>
  <c r="AI13" i="1"/>
  <c r="AJ13" i="1"/>
  <c r="AL13" i="1"/>
  <c r="AK13" i="1"/>
  <c r="AM13" i="1"/>
  <c r="AN13" i="1"/>
  <c r="AI14" i="1"/>
  <c r="AJ14" i="1"/>
  <c r="AL14" i="1"/>
  <c r="AK14" i="1"/>
  <c r="AM14" i="1"/>
  <c r="AN14" i="1"/>
  <c r="AI15" i="1"/>
  <c r="AJ15" i="1"/>
  <c r="AL15" i="1"/>
  <c r="AK15" i="1"/>
  <c r="AM15" i="1"/>
  <c r="AN15" i="1"/>
  <c r="AI16" i="1"/>
  <c r="AJ16" i="1"/>
  <c r="AL16" i="1"/>
  <c r="AK16" i="1"/>
  <c r="AM16" i="1"/>
  <c r="AN16" i="1"/>
  <c r="AI17" i="1"/>
  <c r="AJ17" i="1"/>
  <c r="AL17" i="1"/>
  <c r="AK17" i="1"/>
  <c r="AM17" i="1"/>
  <c r="AN17" i="1"/>
  <c r="AI18" i="1"/>
  <c r="AJ18" i="1"/>
  <c r="AL18" i="1"/>
  <c r="AK18" i="1"/>
  <c r="AM18" i="1"/>
  <c r="AN18" i="1"/>
  <c r="AI19" i="1"/>
  <c r="AJ19" i="1"/>
  <c r="AL19" i="1"/>
  <c r="AK19" i="1"/>
  <c r="AM19" i="1"/>
  <c r="AN19" i="1"/>
  <c r="AI20" i="1"/>
  <c r="AJ20" i="1"/>
  <c r="AL20" i="1"/>
  <c r="AK20" i="1"/>
  <c r="AM20" i="1"/>
  <c r="AN20" i="1"/>
  <c r="AI21" i="1"/>
  <c r="AJ21" i="1"/>
  <c r="AL21" i="1"/>
  <c r="AK21" i="1"/>
  <c r="AM21" i="1"/>
  <c r="AN21" i="1"/>
  <c r="AI22" i="1"/>
  <c r="AJ22" i="1"/>
  <c r="AL22" i="1"/>
  <c r="AK22" i="1"/>
  <c r="AM22" i="1"/>
  <c r="AN22" i="1"/>
  <c r="AI23" i="1"/>
  <c r="AJ23" i="1"/>
  <c r="AL23" i="1"/>
  <c r="AK23" i="1"/>
  <c r="AM23" i="1"/>
  <c r="AN23" i="1"/>
  <c r="AI24" i="1"/>
  <c r="AJ24" i="1"/>
  <c r="AL24" i="1"/>
  <c r="AK24" i="1"/>
  <c r="AM24" i="1"/>
  <c r="AN24" i="1"/>
  <c r="AI25" i="1"/>
  <c r="AJ25" i="1"/>
  <c r="AL25" i="1"/>
  <c r="AK25" i="1"/>
  <c r="AM25" i="1"/>
  <c r="AN25" i="1"/>
  <c r="AI26" i="1"/>
  <c r="AJ26" i="1"/>
  <c r="AL26" i="1"/>
  <c r="AK26" i="1"/>
  <c r="AM26" i="1"/>
  <c r="AN26" i="1"/>
  <c r="AI27" i="1"/>
  <c r="AJ27" i="1"/>
  <c r="AL27" i="1"/>
  <c r="AK27" i="1"/>
  <c r="AM27" i="1"/>
  <c r="AN27" i="1"/>
  <c r="AI28" i="1"/>
  <c r="AJ28" i="1"/>
  <c r="AL28" i="1"/>
  <c r="AK28" i="1"/>
  <c r="AM28" i="1"/>
  <c r="AN28" i="1"/>
  <c r="AI29" i="1"/>
  <c r="AJ29" i="1"/>
  <c r="AL29" i="1"/>
  <c r="AK29" i="1"/>
  <c r="AM29" i="1"/>
  <c r="AN29" i="1"/>
  <c r="AI30" i="1"/>
  <c r="AJ30" i="1"/>
  <c r="AL30" i="1"/>
  <c r="AK30" i="1"/>
  <c r="AM30" i="1"/>
  <c r="AN30" i="1"/>
  <c r="AI31" i="1"/>
  <c r="AJ31" i="1"/>
  <c r="AL31" i="1"/>
  <c r="AK31" i="1"/>
  <c r="AM31" i="1"/>
  <c r="AN31" i="1"/>
  <c r="AI32" i="1"/>
  <c r="AJ32" i="1"/>
  <c r="AL32" i="1"/>
  <c r="AK32" i="1"/>
  <c r="AM32" i="1"/>
  <c r="AN32" i="1"/>
  <c r="AI33" i="1"/>
  <c r="AJ33" i="1"/>
  <c r="AL33" i="1"/>
  <c r="AK33" i="1"/>
  <c r="AM33" i="1"/>
  <c r="AN33" i="1"/>
  <c r="AI34" i="1"/>
  <c r="AJ34" i="1"/>
  <c r="AL34" i="1"/>
  <c r="AK34" i="1"/>
  <c r="AM34" i="1"/>
  <c r="AN34" i="1"/>
  <c r="AI35" i="1"/>
  <c r="AJ35" i="1"/>
  <c r="AL35" i="1"/>
  <c r="AK35" i="1"/>
  <c r="AM35" i="1"/>
  <c r="AN35" i="1"/>
  <c r="AI36" i="1"/>
  <c r="AJ36" i="1"/>
  <c r="AL36" i="1"/>
  <c r="AK36" i="1"/>
  <c r="AM36" i="1"/>
  <c r="AN36" i="1"/>
  <c r="AI37" i="1"/>
  <c r="AJ37" i="1"/>
  <c r="AL37" i="1"/>
  <c r="AK37" i="1"/>
  <c r="AM37" i="1"/>
  <c r="AN37" i="1"/>
  <c r="AI38" i="1"/>
  <c r="AJ38" i="1"/>
  <c r="AL38" i="1"/>
  <c r="AK38" i="1"/>
  <c r="AM38" i="1"/>
  <c r="AN38" i="1"/>
  <c r="AI39" i="1"/>
  <c r="AJ39" i="1"/>
  <c r="AL39" i="1"/>
  <c r="AK39" i="1"/>
  <c r="AM39" i="1"/>
  <c r="AN39" i="1"/>
  <c r="AI40" i="1"/>
  <c r="AJ40" i="1"/>
  <c r="AL40" i="1"/>
  <c r="AK40" i="1"/>
  <c r="AM40" i="1"/>
  <c r="AN40" i="1"/>
  <c r="AI41" i="1"/>
  <c r="AJ41" i="1"/>
  <c r="AL41" i="1"/>
  <c r="AK41" i="1"/>
  <c r="AM41" i="1"/>
  <c r="AN41" i="1"/>
  <c r="AI42" i="1"/>
  <c r="AJ42" i="1"/>
  <c r="AL42" i="1"/>
  <c r="AK42" i="1"/>
  <c r="AM42" i="1"/>
  <c r="AN42" i="1"/>
  <c r="AI43" i="1"/>
  <c r="AJ43" i="1"/>
  <c r="AL43" i="1"/>
  <c r="AK43" i="1"/>
  <c r="AM43" i="1"/>
  <c r="AN43" i="1"/>
  <c r="AI44" i="1"/>
  <c r="AJ44" i="1"/>
  <c r="AL44" i="1"/>
  <c r="AK44" i="1"/>
  <c r="AM44" i="1"/>
  <c r="AN44" i="1"/>
  <c r="AI45" i="1"/>
  <c r="AJ45" i="1"/>
  <c r="AL45" i="1"/>
  <c r="AK45" i="1"/>
  <c r="AM45" i="1"/>
  <c r="AN45" i="1"/>
  <c r="AI46" i="1"/>
  <c r="AJ46" i="1"/>
  <c r="AL46" i="1"/>
  <c r="AK46" i="1"/>
  <c r="AM46" i="1"/>
  <c r="AN46" i="1"/>
  <c r="AI47" i="1"/>
  <c r="AJ47" i="1"/>
  <c r="AL47" i="1"/>
  <c r="AK47" i="1"/>
  <c r="AM47" i="1"/>
  <c r="AN47" i="1"/>
  <c r="AI48" i="1"/>
  <c r="AJ48" i="1"/>
  <c r="AL48" i="1"/>
  <c r="AK48" i="1"/>
  <c r="AM48" i="1"/>
  <c r="AN48" i="1"/>
  <c r="AI49" i="1"/>
  <c r="AJ49" i="1"/>
  <c r="AL49" i="1"/>
  <c r="AK49" i="1"/>
  <c r="AM49" i="1"/>
  <c r="AN49" i="1"/>
  <c r="AI50" i="1"/>
  <c r="AJ50" i="1"/>
  <c r="AL50" i="1"/>
  <c r="AK50" i="1"/>
  <c r="AM50" i="1"/>
  <c r="AN50" i="1"/>
  <c r="AI51" i="1"/>
  <c r="AJ51" i="1"/>
  <c r="AL51" i="1"/>
  <c r="AK51" i="1"/>
  <c r="AM51" i="1"/>
  <c r="AN51" i="1"/>
  <c r="AI52" i="1"/>
  <c r="AJ52" i="1"/>
  <c r="AL52" i="1"/>
  <c r="AK52" i="1"/>
  <c r="AM52" i="1"/>
  <c r="AN52" i="1"/>
  <c r="AI53" i="1"/>
  <c r="AJ53" i="1"/>
  <c r="AL53" i="1"/>
  <c r="AK53" i="1"/>
  <c r="AM53" i="1"/>
  <c r="AN53" i="1"/>
  <c r="AI54" i="1"/>
  <c r="AJ54" i="1"/>
  <c r="AL54" i="1"/>
  <c r="AK54" i="1"/>
  <c r="AM54" i="1"/>
  <c r="AN54" i="1"/>
  <c r="AI55" i="1"/>
  <c r="AJ55" i="1"/>
  <c r="AL55" i="1"/>
  <c r="AK55" i="1"/>
  <c r="AM55" i="1"/>
  <c r="AN55" i="1"/>
  <c r="AI56" i="1"/>
  <c r="AJ56" i="1"/>
  <c r="AL56" i="1"/>
  <c r="AK56" i="1"/>
  <c r="AM56" i="1"/>
  <c r="AN56" i="1"/>
  <c r="AI57" i="1"/>
  <c r="AJ57" i="1"/>
  <c r="AL57" i="1"/>
  <c r="AK57" i="1"/>
  <c r="AM57" i="1"/>
  <c r="AN57" i="1"/>
  <c r="AI58" i="1"/>
  <c r="AJ58" i="1"/>
  <c r="AL58" i="1"/>
  <c r="AK58" i="1"/>
  <c r="AM58" i="1"/>
  <c r="AN58" i="1"/>
  <c r="AI59" i="1"/>
  <c r="AJ59" i="1"/>
  <c r="AL59" i="1"/>
  <c r="AK59" i="1"/>
  <c r="AM59" i="1"/>
  <c r="AN59" i="1"/>
  <c r="AI60" i="1"/>
  <c r="AJ60" i="1"/>
  <c r="AL60" i="1"/>
  <c r="AK60" i="1"/>
  <c r="AM60" i="1"/>
  <c r="AN60" i="1"/>
  <c r="AI61" i="1"/>
  <c r="AJ61" i="1"/>
  <c r="AL61" i="1"/>
  <c r="AK61" i="1"/>
  <c r="AM61" i="1"/>
  <c r="AN61" i="1"/>
  <c r="AI62" i="1"/>
  <c r="AJ62" i="1"/>
  <c r="AL62" i="1"/>
  <c r="AK62" i="1"/>
  <c r="AM62" i="1"/>
  <c r="AN62" i="1"/>
  <c r="AI63" i="1"/>
  <c r="AJ63" i="1"/>
  <c r="AL63" i="1"/>
  <c r="AK63" i="1"/>
  <c r="AM63" i="1"/>
  <c r="AN63" i="1"/>
  <c r="AI64" i="1"/>
  <c r="AJ64" i="1"/>
  <c r="AL64" i="1"/>
  <c r="AK64" i="1"/>
  <c r="AM64" i="1"/>
  <c r="AN64" i="1"/>
  <c r="AI65" i="1"/>
  <c r="AJ65" i="1"/>
  <c r="AL65" i="1"/>
  <c r="AK65" i="1"/>
  <c r="AM65" i="1"/>
  <c r="AN65" i="1"/>
  <c r="AI66" i="1"/>
  <c r="AJ66" i="1"/>
  <c r="AL66" i="1"/>
  <c r="AK66" i="1"/>
  <c r="AM66" i="1"/>
  <c r="AN66" i="1"/>
  <c r="AI67" i="1"/>
  <c r="AJ67" i="1"/>
  <c r="AL67" i="1"/>
  <c r="AK67" i="1"/>
  <c r="AM67" i="1"/>
  <c r="AN67" i="1"/>
  <c r="AI68" i="1"/>
  <c r="AJ68" i="1"/>
  <c r="AL68" i="1"/>
  <c r="AK68" i="1"/>
  <c r="AM68" i="1"/>
  <c r="AN68" i="1"/>
  <c r="AI69" i="1"/>
  <c r="AJ69" i="1"/>
  <c r="AL69" i="1"/>
  <c r="AK69" i="1"/>
  <c r="AM69" i="1"/>
  <c r="AN69" i="1"/>
  <c r="AI70" i="1"/>
  <c r="AJ70" i="1"/>
  <c r="AL70" i="1"/>
  <c r="AK70" i="1"/>
  <c r="AM70" i="1"/>
  <c r="AN70" i="1"/>
  <c r="AI71" i="1"/>
  <c r="AJ71" i="1"/>
  <c r="AL71" i="1"/>
  <c r="AK71" i="1"/>
  <c r="AM71" i="1"/>
  <c r="AN71" i="1"/>
  <c r="AI72" i="1"/>
  <c r="AJ72" i="1"/>
  <c r="AL72" i="1"/>
  <c r="AK72" i="1"/>
  <c r="AM72" i="1"/>
  <c r="AN72" i="1"/>
  <c r="AI73" i="1"/>
  <c r="AJ73" i="1"/>
  <c r="AL73" i="1"/>
  <c r="AK73" i="1"/>
  <c r="AM73" i="1"/>
  <c r="AN73" i="1"/>
  <c r="AI74" i="1"/>
  <c r="AJ74" i="1"/>
  <c r="AL74" i="1"/>
  <c r="AK74" i="1"/>
  <c r="AM74" i="1"/>
  <c r="AN74" i="1"/>
  <c r="AI75" i="1"/>
  <c r="AJ75" i="1"/>
  <c r="AL75" i="1"/>
  <c r="AK75" i="1"/>
  <c r="AM75" i="1"/>
  <c r="AN75" i="1"/>
  <c r="AI76" i="1"/>
  <c r="AJ76" i="1"/>
  <c r="AL76" i="1"/>
  <c r="AK76" i="1"/>
  <c r="AM76" i="1"/>
  <c r="AN76" i="1"/>
  <c r="AI77" i="1"/>
  <c r="AJ77" i="1"/>
  <c r="AL77" i="1"/>
  <c r="AK77" i="1"/>
  <c r="AM77" i="1"/>
  <c r="AN77" i="1"/>
  <c r="AI78" i="1"/>
  <c r="AJ78" i="1"/>
  <c r="AL78" i="1"/>
  <c r="AK78" i="1"/>
  <c r="AM78" i="1"/>
  <c r="AN78" i="1"/>
  <c r="AN80" i="1"/>
  <c r="AJ80"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R9" i="1"/>
  <c r="Q76" i="1"/>
  <c r="Q3" i="1"/>
  <c r="O4" i="1"/>
  <c r="AQ4" i="1"/>
  <c r="O5" i="1"/>
  <c r="AQ5" i="1"/>
  <c r="O6" i="1"/>
  <c r="AQ6" i="1"/>
  <c r="O7" i="1"/>
  <c r="AQ7" i="1"/>
  <c r="O8" i="1"/>
  <c r="AQ8" i="1"/>
  <c r="O9" i="1"/>
  <c r="AQ9" i="1"/>
  <c r="O10" i="1"/>
  <c r="AQ10" i="1"/>
  <c r="O11" i="1"/>
  <c r="AQ11" i="1"/>
  <c r="O12" i="1"/>
  <c r="AQ12" i="1"/>
  <c r="O13" i="1"/>
  <c r="AQ13" i="1"/>
  <c r="O14" i="1"/>
  <c r="AQ14" i="1"/>
  <c r="O15" i="1"/>
  <c r="AQ15" i="1"/>
  <c r="O16" i="1"/>
  <c r="AQ16" i="1"/>
  <c r="O17" i="1"/>
  <c r="AQ17" i="1"/>
  <c r="O18" i="1"/>
  <c r="AQ18" i="1"/>
  <c r="O19" i="1"/>
  <c r="AQ19" i="1"/>
  <c r="O20" i="1"/>
  <c r="AQ20" i="1"/>
  <c r="O21" i="1"/>
  <c r="AQ21" i="1"/>
  <c r="O22" i="1"/>
  <c r="AQ22" i="1"/>
  <c r="O23" i="1"/>
  <c r="AQ23" i="1"/>
  <c r="O24" i="1"/>
  <c r="AQ24" i="1"/>
  <c r="O25" i="1"/>
  <c r="AQ25" i="1"/>
  <c r="O26" i="1"/>
  <c r="AQ26" i="1"/>
  <c r="O27" i="1"/>
  <c r="AQ27" i="1"/>
  <c r="O28" i="1"/>
  <c r="AQ28" i="1"/>
  <c r="O29" i="1"/>
  <c r="AQ29" i="1"/>
  <c r="O30" i="1"/>
  <c r="AQ30" i="1"/>
  <c r="O31" i="1"/>
  <c r="AQ31" i="1"/>
  <c r="O32" i="1"/>
  <c r="AQ32" i="1"/>
  <c r="O33" i="1"/>
  <c r="AQ33" i="1"/>
  <c r="O34" i="1"/>
  <c r="AQ34" i="1"/>
  <c r="O35" i="1"/>
  <c r="AQ35" i="1"/>
  <c r="O36" i="1"/>
  <c r="AQ36" i="1"/>
  <c r="O37" i="1"/>
  <c r="AQ37" i="1"/>
  <c r="O38" i="1"/>
  <c r="AQ38" i="1"/>
  <c r="O39" i="1"/>
  <c r="AQ39" i="1"/>
  <c r="O40" i="1"/>
  <c r="AQ40" i="1"/>
  <c r="O41" i="1"/>
  <c r="AQ41" i="1"/>
  <c r="O42" i="1"/>
  <c r="AQ42" i="1"/>
  <c r="O43" i="1"/>
  <c r="AQ43" i="1"/>
  <c r="O44" i="1"/>
  <c r="AQ44" i="1"/>
  <c r="O45" i="1"/>
  <c r="AQ45" i="1"/>
  <c r="O46" i="1"/>
  <c r="AQ46" i="1"/>
  <c r="O47" i="1"/>
  <c r="AQ47" i="1"/>
  <c r="O48" i="1"/>
  <c r="AQ48" i="1"/>
  <c r="O49" i="1"/>
  <c r="AQ49" i="1"/>
  <c r="O50" i="1"/>
  <c r="AQ50" i="1"/>
  <c r="O51" i="1"/>
  <c r="AQ51" i="1"/>
  <c r="O52" i="1"/>
  <c r="AQ52" i="1"/>
  <c r="O53" i="1"/>
  <c r="AQ53" i="1"/>
  <c r="O54" i="1"/>
  <c r="AQ54" i="1"/>
  <c r="O55" i="1"/>
  <c r="AQ55" i="1"/>
  <c r="O56" i="1"/>
  <c r="AQ56" i="1"/>
  <c r="O57" i="1"/>
  <c r="AQ57" i="1"/>
  <c r="O58" i="1"/>
  <c r="AQ58" i="1"/>
  <c r="O59" i="1"/>
  <c r="AQ59" i="1"/>
  <c r="O60" i="1"/>
  <c r="AQ60" i="1"/>
  <c r="O61" i="1"/>
  <c r="AQ61" i="1"/>
  <c r="O62" i="1"/>
  <c r="AQ62" i="1"/>
  <c r="O63" i="1"/>
  <c r="AQ63" i="1"/>
  <c r="O64" i="1"/>
  <c r="AQ64" i="1"/>
  <c r="O65" i="1"/>
  <c r="AQ65" i="1"/>
  <c r="O66" i="1"/>
  <c r="AQ66" i="1"/>
  <c r="O67" i="1"/>
  <c r="AQ67" i="1"/>
  <c r="O68" i="1"/>
  <c r="AQ68" i="1"/>
  <c r="O69" i="1"/>
  <c r="AQ69" i="1"/>
  <c r="O70" i="1"/>
  <c r="AQ70" i="1"/>
  <c r="O71" i="1"/>
  <c r="AQ71" i="1"/>
  <c r="O72" i="1"/>
  <c r="AQ72" i="1"/>
  <c r="O73" i="1"/>
  <c r="AQ73" i="1"/>
  <c r="O74" i="1"/>
  <c r="AQ74" i="1"/>
  <c r="O75" i="1"/>
  <c r="AQ75" i="1"/>
  <c r="O76" i="1"/>
  <c r="AQ76" i="1"/>
  <c r="O77" i="1"/>
  <c r="AQ77" i="1"/>
  <c r="O78" i="1"/>
  <c r="AQ78" i="1"/>
  <c r="O3" i="1"/>
  <c r="AQ3" i="1"/>
  <c r="AO3" i="1"/>
  <c r="AD3" i="1"/>
  <c r="AP3" i="1"/>
  <c r="D131" i="1"/>
  <c r="E131" i="1"/>
  <c r="F131" i="1"/>
  <c r="G130" i="1"/>
  <c r="G131" i="1"/>
  <c r="H130" i="1"/>
  <c r="H131" i="1"/>
  <c r="I130" i="1"/>
  <c r="I131" i="1"/>
  <c r="J131" i="1"/>
  <c r="K131" i="1"/>
  <c r="L131" i="1"/>
  <c r="M131" i="1"/>
  <c r="N131" i="1"/>
  <c r="O131" i="1"/>
  <c r="P131" i="1"/>
  <c r="Q131" i="1"/>
  <c r="R131" i="1"/>
  <c r="S131" i="1"/>
  <c r="T131" i="1"/>
  <c r="U131" i="1"/>
  <c r="V131" i="1"/>
  <c r="W131" i="1"/>
  <c r="X131" i="1"/>
  <c r="Y131" i="1"/>
  <c r="Z131" i="1"/>
  <c r="AA131" i="1"/>
  <c r="AB131" i="1"/>
  <c r="AC131" i="1"/>
  <c r="AD131" i="1"/>
  <c r="AE131" i="1"/>
  <c r="AF131" i="1"/>
  <c r="AG131" i="1"/>
  <c r="AH131" i="1"/>
  <c r="AI131" i="1"/>
  <c r="AJ131" i="1"/>
  <c r="AK131" i="1"/>
  <c r="C131" i="1"/>
  <c r="AL130" i="1"/>
  <c r="M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C4" i="1"/>
  <c r="AC3" i="1"/>
  <c r="AB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AS78" i="1"/>
  <c r="AP78" i="1"/>
  <c r="AD78" i="1"/>
  <c r="AE78" i="1"/>
  <c r="AF78" i="1"/>
  <c r="AC78" i="1"/>
  <c r="AB78" i="1"/>
  <c r="R78" i="1"/>
  <c r="Q78" i="1"/>
  <c r="AS77" i="1"/>
  <c r="AP77" i="1"/>
  <c r="AD77" i="1"/>
  <c r="AE77" i="1"/>
  <c r="AF77" i="1"/>
  <c r="AC77" i="1"/>
  <c r="AB77" i="1"/>
  <c r="R77" i="1"/>
  <c r="Q77" i="1"/>
  <c r="AS76" i="1"/>
  <c r="AP76" i="1"/>
  <c r="AD76" i="1"/>
  <c r="AE76" i="1"/>
  <c r="AF76" i="1"/>
  <c r="AC76" i="1"/>
  <c r="AB76" i="1"/>
  <c r="R76" i="1"/>
  <c r="AS75" i="1"/>
  <c r="AP75" i="1"/>
  <c r="AD75" i="1"/>
  <c r="AE75" i="1"/>
  <c r="AF75" i="1"/>
  <c r="AC75" i="1"/>
  <c r="AB75" i="1"/>
  <c r="R75" i="1"/>
  <c r="Q75" i="1"/>
  <c r="AS74" i="1"/>
  <c r="AP74" i="1"/>
  <c r="AD74" i="1"/>
  <c r="AE74" i="1"/>
  <c r="AF74" i="1"/>
  <c r="AC74" i="1"/>
  <c r="AB74" i="1"/>
  <c r="R74" i="1"/>
  <c r="Q74" i="1"/>
  <c r="AS73" i="1"/>
  <c r="AP73" i="1"/>
  <c r="AD73" i="1"/>
  <c r="AE73" i="1"/>
  <c r="AF73" i="1"/>
  <c r="AC73" i="1"/>
  <c r="AB73" i="1"/>
  <c r="R73" i="1"/>
  <c r="Q73" i="1"/>
  <c r="AS72" i="1"/>
  <c r="AP72" i="1"/>
  <c r="AD72" i="1"/>
  <c r="AE72" i="1"/>
  <c r="AF72" i="1"/>
  <c r="AC72" i="1"/>
  <c r="AB72" i="1"/>
  <c r="R72" i="1"/>
  <c r="Q72" i="1"/>
  <c r="AS71" i="1"/>
  <c r="AP71" i="1"/>
  <c r="AD71" i="1"/>
  <c r="AE71" i="1"/>
  <c r="AF71" i="1"/>
  <c r="AC71" i="1"/>
  <c r="AB71" i="1"/>
  <c r="R71" i="1"/>
  <c r="Q71" i="1"/>
  <c r="AS70" i="1"/>
  <c r="AP70" i="1"/>
  <c r="AD70" i="1"/>
  <c r="AE70" i="1"/>
  <c r="AF70" i="1"/>
  <c r="AC70" i="1"/>
  <c r="AB70" i="1"/>
  <c r="R70" i="1"/>
  <c r="Q70" i="1"/>
  <c r="AS69" i="1"/>
  <c r="AP69" i="1"/>
  <c r="AD69" i="1"/>
  <c r="AE69" i="1"/>
  <c r="AF69" i="1"/>
  <c r="AC69" i="1"/>
  <c r="AB69" i="1"/>
  <c r="R69" i="1"/>
  <c r="Q69" i="1"/>
  <c r="AS68" i="1"/>
  <c r="AP68" i="1"/>
  <c r="AD68" i="1"/>
  <c r="AE68" i="1"/>
  <c r="AF68" i="1"/>
  <c r="AC68" i="1"/>
  <c r="AB68" i="1"/>
  <c r="R68" i="1"/>
  <c r="Q68" i="1"/>
  <c r="AS67" i="1"/>
  <c r="AP67" i="1"/>
  <c r="AD67" i="1"/>
  <c r="AE67" i="1"/>
  <c r="AF67" i="1"/>
  <c r="AC67" i="1"/>
  <c r="AB67" i="1"/>
  <c r="R67" i="1"/>
  <c r="Q67" i="1"/>
  <c r="AS66" i="1"/>
  <c r="AP66" i="1"/>
  <c r="AD66" i="1"/>
  <c r="AE66" i="1"/>
  <c r="AF66" i="1"/>
  <c r="AC66" i="1"/>
  <c r="AB66" i="1"/>
  <c r="R66" i="1"/>
  <c r="Q66" i="1"/>
  <c r="AS65" i="1"/>
  <c r="AP65" i="1"/>
  <c r="AD65" i="1"/>
  <c r="AE65" i="1"/>
  <c r="AF65" i="1"/>
  <c r="AC65" i="1"/>
  <c r="AB65" i="1"/>
  <c r="R65" i="1"/>
  <c r="Q65" i="1"/>
  <c r="AS64" i="1"/>
  <c r="AP64" i="1"/>
  <c r="AD64" i="1"/>
  <c r="AE64" i="1"/>
  <c r="AF64" i="1"/>
  <c r="AC64" i="1"/>
  <c r="AB64" i="1"/>
  <c r="R64" i="1"/>
  <c r="Q64" i="1"/>
  <c r="AS63" i="1"/>
  <c r="AP63" i="1"/>
  <c r="AD63" i="1"/>
  <c r="AE63" i="1"/>
  <c r="AF63" i="1"/>
  <c r="AC63" i="1"/>
  <c r="AB63" i="1"/>
  <c r="R63" i="1"/>
  <c r="Q63" i="1"/>
  <c r="AS62" i="1"/>
  <c r="AP62" i="1"/>
  <c r="AD62" i="1"/>
  <c r="AE62" i="1"/>
  <c r="AF62" i="1"/>
  <c r="AC62" i="1"/>
  <c r="AB62" i="1"/>
  <c r="R62" i="1"/>
  <c r="Q62" i="1"/>
  <c r="AS61" i="1"/>
  <c r="AP61" i="1"/>
  <c r="AD61" i="1"/>
  <c r="AE61" i="1"/>
  <c r="AF61" i="1"/>
  <c r="AC61" i="1"/>
  <c r="AB61" i="1"/>
  <c r="R61" i="1"/>
  <c r="Q61" i="1"/>
  <c r="AS60" i="1"/>
  <c r="AP60" i="1"/>
  <c r="AD60" i="1"/>
  <c r="AE60" i="1"/>
  <c r="AF60" i="1"/>
  <c r="AC60" i="1"/>
  <c r="AB60" i="1"/>
  <c r="R60" i="1"/>
  <c r="Q60" i="1"/>
  <c r="AS59" i="1"/>
  <c r="AP59" i="1"/>
  <c r="AD59" i="1"/>
  <c r="AE59" i="1"/>
  <c r="AF59" i="1"/>
  <c r="AC59" i="1"/>
  <c r="AB59" i="1"/>
  <c r="R59" i="1"/>
  <c r="Q59" i="1"/>
  <c r="AS58" i="1"/>
  <c r="AP58" i="1"/>
  <c r="AD58" i="1"/>
  <c r="AE58" i="1"/>
  <c r="AF58" i="1"/>
  <c r="AC58" i="1"/>
  <c r="AB58" i="1"/>
  <c r="R58" i="1"/>
  <c r="Q58" i="1"/>
  <c r="AS57" i="1"/>
  <c r="AP57" i="1"/>
  <c r="AD57" i="1"/>
  <c r="AE57" i="1"/>
  <c r="AF57" i="1"/>
  <c r="AC57" i="1"/>
  <c r="AB57" i="1"/>
  <c r="R57" i="1"/>
  <c r="Q57" i="1"/>
  <c r="AS56" i="1"/>
  <c r="AP56" i="1"/>
  <c r="AD56" i="1"/>
  <c r="AE56" i="1"/>
  <c r="AF56" i="1"/>
  <c r="AC56" i="1"/>
  <c r="AB56" i="1"/>
  <c r="R56" i="1"/>
  <c r="Q56" i="1"/>
  <c r="AS55" i="1"/>
  <c r="AP55" i="1"/>
  <c r="AD55" i="1"/>
  <c r="AE55" i="1"/>
  <c r="AF55" i="1"/>
  <c r="AC55" i="1"/>
  <c r="AB55" i="1"/>
  <c r="R55" i="1"/>
  <c r="Q55" i="1"/>
  <c r="AS54" i="1"/>
  <c r="AP54" i="1"/>
  <c r="AD54" i="1"/>
  <c r="AE54" i="1"/>
  <c r="AF54" i="1"/>
  <c r="AC54" i="1"/>
  <c r="AB54" i="1"/>
  <c r="R54" i="1"/>
  <c r="Q54" i="1"/>
  <c r="AS53" i="1"/>
  <c r="AP53" i="1"/>
  <c r="AD53" i="1"/>
  <c r="AE53" i="1"/>
  <c r="AF53" i="1"/>
  <c r="AC53" i="1"/>
  <c r="AB53" i="1"/>
  <c r="R53" i="1"/>
  <c r="Q53" i="1"/>
  <c r="AS52" i="1"/>
  <c r="AP52" i="1"/>
  <c r="AD52" i="1"/>
  <c r="AE52" i="1"/>
  <c r="AF52" i="1"/>
  <c r="AC52" i="1"/>
  <c r="AB52" i="1"/>
  <c r="R52" i="1"/>
  <c r="Q52" i="1"/>
  <c r="AS51" i="1"/>
  <c r="AP51" i="1"/>
  <c r="AD51" i="1"/>
  <c r="AE51" i="1"/>
  <c r="AF51" i="1"/>
  <c r="AC51" i="1"/>
  <c r="AB51" i="1"/>
  <c r="R51" i="1"/>
  <c r="Q51" i="1"/>
  <c r="AS50" i="1"/>
  <c r="AP50" i="1"/>
  <c r="AD50" i="1"/>
  <c r="AE50" i="1"/>
  <c r="AF50" i="1"/>
  <c r="AC50" i="1"/>
  <c r="AB50" i="1"/>
  <c r="R50" i="1"/>
  <c r="Q50" i="1"/>
  <c r="AS49" i="1"/>
  <c r="AP49" i="1"/>
  <c r="AD49" i="1"/>
  <c r="AE49" i="1"/>
  <c r="AF49" i="1"/>
  <c r="AC49" i="1"/>
  <c r="AB49" i="1"/>
  <c r="R49" i="1"/>
  <c r="Q49" i="1"/>
  <c r="AS48" i="1"/>
  <c r="AP48" i="1"/>
  <c r="AD48" i="1"/>
  <c r="AE48" i="1"/>
  <c r="AF48" i="1"/>
  <c r="AC48" i="1"/>
  <c r="AB48" i="1"/>
  <c r="R48" i="1"/>
  <c r="Q48" i="1"/>
  <c r="AS47" i="1"/>
  <c r="AP47" i="1"/>
  <c r="AD47" i="1"/>
  <c r="AE47" i="1"/>
  <c r="AF47" i="1"/>
  <c r="AC47" i="1"/>
  <c r="AB47" i="1"/>
  <c r="R47" i="1"/>
  <c r="Q47" i="1"/>
  <c r="AS46" i="1"/>
  <c r="AP46" i="1"/>
  <c r="AD46" i="1"/>
  <c r="AE46" i="1"/>
  <c r="AF46" i="1"/>
  <c r="AC46" i="1"/>
  <c r="AB46" i="1"/>
  <c r="R46" i="1"/>
  <c r="Q46" i="1"/>
  <c r="AS45" i="1"/>
  <c r="AP45" i="1"/>
  <c r="AD45" i="1"/>
  <c r="AE45" i="1"/>
  <c r="AF45" i="1"/>
  <c r="AC45" i="1"/>
  <c r="AB45" i="1"/>
  <c r="R45" i="1"/>
  <c r="Q45" i="1"/>
  <c r="AS44" i="1"/>
  <c r="AP44" i="1"/>
  <c r="AD44" i="1"/>
  <c r="AE44" i="1"/>
  <c r="AF44" i="1"/>
  <c r="AC44" i="1"/>
  <c r="AB44" i="1"/>
  <c r="R44" i="1"/>
  <c r="Q44" i="1"/>
  <c r="AS43" i="1"/>
  <c r="AP43" i="1"/>
  <c r="AD43" i="1"/>
  <c r="AE43" i="1"/>
  <c r="AF43" i="1"/>
  <c r="AC43" i="1"/>
  <c r="AB43" i="1"/>
  <c r="R43" i="1"/>
  <c r="Q43" i="1"/>
  <c r="AS42" i="1"/>
  <c r="AP42" i="1"/>
  <c r="AD42" i="1"/>
  <c r="AE42" i="1"/>
  <c r="AF42" i="1"/>
  <c r="AC42" i="1"/>
  <c r="AB42" i="1"/>
  <c r="R42" i="1"/>
  <c r="Q42" i="1"/>
  <c r="AS41" i="1"/>
  <c r="AP41" i="1"/>
  <c r="AD41" i="1"/>
  <c r="AE41" i="1"/>
  <c r="AF41" i="1"/>
  <c r="AC41" i="1"/>
  <c r="AB41" i="1"/>
  <c r="R41" i="1"/>
  <c r="Q41" i="1"/>
  <c r="AS40" i="1"/>
  <c r="AP40" i="1"/>
  <c r="AD40" i="1"/>
  <c r="AE40" i="1"/>
  <c r="AF40" i="1"/>
  <c r="AC40" i="1"/>
  <c r="AB40" i="1"/>
  <c r="R40" i="1"/>
  <c r="Q40" i="1"/>
  <c r="AS39" i="1"/>
  <c r="AP39" i="1"/>
  <c r="AD39" i="1"/>
  <c r="AE39" i="1"/>
  <c r="AF39" i="1"/>
  <c r="AC39" i="1"/>
  <c r="AB39" i="1"/>
  <c r="R39" i="1"/>
  <c r="Q39" i="1"/>
  <c r="AS38" i="1"/>
  <c r="AP38" i="1"/>
  <c r="AD38" i="1"/>
  <c r="AE38" i="1"/>
  <c r="AF38" i="1"/>
  <c r="AC38" i="1"/>
  <c r="AB38" i="1"/>
  <c r="R38" i="1"/>
  <c r="Q38" i="1"/>
  <c r="AS37" i="1"/>
  <c r="AP37" i="1"/>
  <c r="AD37" i="1"/>
  <c r="AE37" i="1"/>
  <c r="AF37" i="1"/>
  <c r="AC37" i="1"/>
  <c r="AB37" i="1"/>
  <c r="R37" i="1"/>
  <c r="Q37" i="1"/>
  <c r="AS36" i="1"/>
  <c r="AP36" i="1"/>
  <c r="AD36" i="1"/>
  <c r="AE36" i="1"/>
  <c r="AF36" i="1"/>
  <c r="AC36" i="1"/>
  <c r="AB36" i="1"/>
  <c r="R36" i="1"/>
  <c r="Q36" i="1"/>
  <c r="AS35" i="1"/>
  <c r="AP35" i="1"/>
  <c r="AD35" i="1"/>
  <c r="AE35" i="1"/>
  <c r="AF35" i="1"/>
  <c r="AC35" i="1"/>
  <c r="AB35" i="1"/>
  <c r="R35" i="1"/>
  <c r="Q35" i="1"/>
  <c r="AS34" i="1"/>
  <c r="AP34" i="1"/>
  <c r="AD34" i="1"/>
  <c r="AE34" i="1"/>
  <c r="AF34" i="1"/>
  <c r="AC34" i="1"/>
  <c r="AB34" i="1"/>
  <c r="R34" i="1"/>
  <c r="Q34" i="1"/>
  <c r="AS33" i="1"/>
  <c r="AP33" i="1"/>
  <c r="AD33" i="1"/>
  <c r="AE33" i="1"/>
  <c r="AF33" i="1"/>
  <c r="AC33" i="1"/>
  <c r="AB33" i="1"/>
  <c r="R33" i="1"/>
  <c r="Q33" i="1"/>
  <c r="AS32" i="1"/>
  <c r="AP32" i="1"/>
  <c r="AD32" i="1"/>
  <c r="AE32" i="1"/>
  <c r="AF32" i="1"/>
  <c r="AC32" i="1"/>
  <c r="AB32" i="1"/>
  <c r="R32" i="1"/>
  <c r="Q32" i="1"/>
  <c r="AS31" i="1"/>
  <c r="AP31" i="1"/>
  <c r="AD31" i="1"/>
  <c r="AE31" i="1"/>
  <c r="AF31" i="1"/>
  <c r="AC31" i="1"/>
  <c r="AB31" i="1"/>
  <c r="R31" i="1"/>
  <c r="Q31" i="1"/>
  <c r="AS30" i="1"/>
  <c r="AP30" i="1"/>
  <c r="AD30" i="1"/>
  <c r="AE30" i="1"/>
  <c r="AF30" i="1"/>
  <c r="AC30" i="1"/>
  <c r="AB30" i="1"/>
  <c r="R30" i="1"/>
  <c r="Q30" i="1"/>
  <c r="AS29" i="1"/>
  <c r="AP29" i="1"/>
  <c r="AD29" i="1"/>
  <c r="AE29" i="1"/>
  <c r="AF29" i="1"/>
  <c r="AC29" i="1"/>
  <c r="AB29" i="1"/>
  <c r="R29" i="1"/>
  <c r="Q29" i="1"/>
  <c r="AS28" i="1"/>
  <c r="AP28" i="1"/>
  <c r="AD28" i="1"/>
  <c r="AE28" i="1"/>
  <c r="AF28" i="1"/>
  <c r="AC28" i="1"/>
  <c r="AB28" i="1"/>
  <c r="R28" i="1"/>
  <c r="Q28" i="1"/>
  <c r="AS27" i="1"/>
  <c r="AP27" i="1"/>
  <c r="AD27" i="1"/>
  <c r="AE27" i="1"/>
  <c r="AF27" i="1"/>
  <c r="AC27" i="1"/>
  <c r="AB27" i="1"/>
  <c r="R27" i="1"/>
  <c r="Q27" i="1"/>
  <c r="AS26" i="1"/>
  <c r="AP26" i="1"/>
  <c r="AD26" i="1"/>
  <c r="AE26" i="1"/>
  <c r="AF26" i="1"/>
  <c r="AC26" i="1"/>
  <c r="AB26" i="1"/>
  <c r="R26" i="1"/>
  <c r="Q26" i="1"/>
  <c r="AS25" i="1"/>
  <c r="AP25" i="1"/>
  <c r="AD25" i="1"/>
  <c r="AE25" i="1"/>
  <c r="AF25" i="1"/>
  <c r="AC25" i="1"/>
  <c r="AB25" i="1"/>
  <c r="R25" i="1"/>
  <c r="Q25" i="1"/>
  <c r="AS24" i="1"/>
  <c r="AP24" i="1"/>
  <c r="AD24" i="1"/>
  <c r="AE24" i="1"/>
  <c r="AF24" i="1"/>
  <c r="AC24" i="1"/>
  <c r="AB24" i="1"/>
  <c r="R24" i="1"/>
  <c r="Q24" i="1"/>
  <c r="AS23" i="1"/>
  <c r="AP23" i="1"/>
  <c r="AD23" i="1"/>
  <c r="AE23" i="1"/>
  <c r="AF23" i="1"/>
  <c r="AC23" i="1"/>
  <c r="AB23" i="1"/>
  <c r="R23" i="1"/>
  <c r="Q23" i="1"/>
  <c r="AS22" i="1"/>
  <c r="AP22" i="1"/>
  <c r="AD22" i="1"/>
  <c r="AE22" i="1"/>
  <c r="AF22" i="1"/>
  <c r="AC22" i="1"/>
  <c r="AB22" i="1"/>
  <c r="R22" i="1"/>
  <c r="Q22" i="1"/>
  <c r="AS21" i="1"/>
  <c r="AP21" i="1"/>
  <c r="AD21" i="1"/>
  <c r="AE21" i="1"/>
  <c r="AF21" i="1"/>
  <c r="AC21" i="1"/>
  <c r="AB21" i="1"/>
  <c r="R21" i="1"/>
  <c r="Q21" i="1"/>
  <c r="AS20" i="1"/>
  <c r="AP20" i="1"/>
  <c r="AD20" i="1"/>
  <c r="AE20" i="1"/>
  <c r="AF20" i="1"/>
  <c r="AC20" i="1"/>
  <c r="AB20" i="1"/>
  <c r="R20" i="1"/>
  <c r="Q20" i="1"/>
  <c r="AP19" i="1"/>
  <c r="AD19" i="1"/>
  <c r="AE19" i="1"/>
  <c r="AF19" i="1"/>
  <c r="AC19" i="1"/>
  <c r="AB19" i="1"/>
  <c r="R19" i="1"/>
  <c r="Q19" i="1"/>
  <c r="AS18" i="1"/>
  <c r="AP18" i="1"/>
  <c r="AD18" i="1"/>
  <c r="AE18" i="1"/>
  <c r="AF18" i="1"/>
  <c r="AC18" i="1"/>
  <c r="AB18" i="1"/>
  <c r="R18" i="1"/>
  <c r="Q18" i="1"/>
  <c r="AS17" i="1"/>
  <c r="AP17" i="1"/>
  <c r="AD17" i="1"/>
  <c r="AE17" i="1"/>
  <c r="AF17" i="1"/>
  <c r="AC17" i="1"/>
  <c r="AB17" i="1"/>
  <c r="R17" i="1"/>
  <c r="Q17" i="1"/>
  <c r="AS16" i="1"/>
  <c r="AP16" i="1"/>
  <c r="AD16" i="1"/>
  <c r="AE16" i="1"/>
  <c r="AF16" i="1"/>
  <c r="AC16" i="1"/>
  <c r="AB16" i="1"/>
  <c r="R16" i="1"/>
  <c r="Q16" i="1"/>
  <c r="AS15" i="1"/>
  <c r="AP15" i="1"/>
  <c r="AD15" i="1"/>
  <c r="AE15" i="1"/>
  <c r="AF15" i="1"/>
  <c r="AC15" i="1"/>
  <c r="AB15" i="1"/>
  <c r="R15" i="1"/>
  <c r="Q15" i="1"/>
  <c r="AS14" i="1"/>
  <c r="AP14" i="1"/>
  <c r="AD14" i="1"/>
  <c r="AE14" i="1"/>
  <c r="AF14" i="1"/>
  <c r="AC14" i="1"/>
  <c r="AB14" i="1"/>
  <c r="R14" i="1"/>
  <c r="Q14" i="1"/>
  <c r="AS13" i="1"/>
  <c r="AP13" i="1"/>
  <c r="AD13" i="1"/>
  <c r="AE13" i="1"/>
  <c r="AF13" i="1"/>
  <c r="AC13" i="1"/>
  <c r="AB13" i="1"/>
  <c r="R13" i="1"/>
  <c r="Q13" i="1"/>
  <c r="AS12" i="1"/>
  <c r="AP12" i="1"/>
  <c r="AD12" i="1"/>
  <c r="AE12" i="1"/>
  <c r="AF12" i="1"/>
  <c r="AC12" i="1"/>
  <c r="AB12" i="1"/>
  <c r="R12" i="1"/>
  <c r="Q12" i="1"/>
  <c r="AS11" i="1"/>
  <c r="AP11" i="1"/>
  <c r="AD11" i="1"/>
  <c r="AE11" i="1"/>
  <c r="AF11" i="1"/>
  <c r="AC11" i="1"/>
  <c r="AB11" i="1"/>
  <c r="R11" i="1"/>
  <c r="Q11" i="1"/>
  <c r="AS10" i="1"/>
  <c r="AP10" i="1"/>
  <c r="AD10" i="1"/>
  <c r="AE10" i="1"/>
  <c r="AF10" i="1"/>
  <c r="AC10" i="1"/>
  <c r="AB10" i="1"/>
  <c r="R10" i="1"/>
  <c r="Q10" i="1"/>
  <c r="AS9" i="1"/>
  <c r="AP9" i="1"/>
  <c r="AD9" i="1"/>
  <c r="AE9" i="1"/>
  <c r="AF9" i="1"/>
  <c r="AC9" i="1"/>
  <c r="AB9" i="1"/>
  <c r="Q9" i="1"/>
  <c r="AS8" i="1"/>
  <c r="AP8" i="1"/>
  <c r="AD8" i="1"/>
  <c r="AE8" i="1"/>
  <c r="AF8" i="1"/>
  <c r="AC8" i="1"/>
  <c r="AB8" i="1"/>
  <c r="R8" i="1"/>
  <c r="Q8" i="1"/>
  <c r="AS7" i="1"/>
  <c r="AP7" i="1"/>
  <c r="AD7" i="1"/>
  <c r="AE7" i="1"/>
  <c r="AF7" i="1"/>
  <c r="AC7" i="1"/>
  <c r="AB7" i="1"/>
  <c r="R7" i="1"/>
  <c r="Q7" i="1"/>
  <c r="AS6" i="1"/>
  <c r="AP6" i="1"/>
  <c r="AD6" i="1"/>
  <c r="AE6" i="1"/>
  <c r="AF6" i="1"/>
  <c r="AC6" i="1"/>
  <c r="AB6" i="1"/>
  <c r="R6" i="1"/>
  <c r="Q6" i="1"/>
  <c r="AS5" i="1"/>
  <c r="AP5" i="1"/>
  <c r="AD5" i="1"/>
  <c r="AE5" i="1"/>
  <c r="AF5" i="1"/>
  <c r="AC5" i="1"/>
  <c r="AB5" i="1"/>
  <c r="R5" i="1"/>
  <c r="Q5" i="1"/>
  <c r="AS4" i="1"/>
  <c r="AP4" i="1"/>
  <c r="AD4" i="1"/>
  <c r="AE4" i="1"/>
  <c r="AF4" i="1"/>
  <c r="AB4" i="1"/>
  <c r="R4" i="1"/>
  <c r="Q4" i="1"/>
  <c r="AS3" i="1"/>
  <c r="AE3" i="1"/>
  <c r="AF3" i="1"/>
  <c r="R3" i="1"/>
</calcChain>
</file>

<file path=xl/sharedStrings.xml><?xml version="1.0" encoding="utf-8"?>
<sst xmlns="http://schemas.openxmlformats.org/spreadsheetml/2006/main" count="726" uniqueCount="415">
  <si>
    <t>CVEGEO</t>
  </si>
  <si>
    <t>Población afiliada a servicios médicos - 2015</t>
  </si>
  <si>
    <t>Total</t>
  </si>
  <si>
    <t xml:space="preserve">Azcapotzalco </t>
  </si>
  <si>
    <t>Baja</t>
  </si>
  <si>
    <t xml:space="preserve">Coyoacán </t>
  </si>
  <si>
    <t>Muy Baja</t>
  </si>
  <si>
    <t xml:space="preserve">Cuajimalpa de Morelos </t>
  </si>
  <si>
    <t xml:space="preserve">Gustavo A. Madero </t>
  </si>
  <si>
    <t xml:space="preserve">Iztacalco </t>
  </si>
  <si>
    <t xml:space="preserve">Iztapalapa </t>
  </si>
  <si>
    <t xml:space="preserve">La Magdalena Contreras </t>
  </si>
  <si>
    <t xml:space="preserve">Milpa Alta </t>
  </si>
  <si>
    <t>Alta</t>
  </si>
  <si>
    <t xml:space="preserve">Álvaro Obregón </t>
  </si>
  <si>
    <t>Baja a Muy Baja</t>
  </si>
  <si>
    <t xml:space="preserve">Tláhuac </t>
  </si>
  <si>
    <t>Media</t>
  </si>
  <si>
    <t xml:space="preserve">Tlalpan </t>
  </si>
  <si>
    <t xml:space="preserve">Xochimilco </t>
  </si>
  <si>
    <t xml:space="preserve">Benito Juárez </t>
  </si>
  <si>
    <t xml:space="preserve">Cuauhtémoc </t>
  </si>
  <si>
    <t xml:space="preserve">Miguel Hidalgo </t>
  </si>
  <si>
    <t xml:space="preserve">Venustiano Carranza </t>
  </si>
  <si>
    <t xml:space="preserve">	Tizayuca </t>
  </si>
  <si>
    <t xml:space="preserve">	Acolman </t>
  </si>
  <si>
    <t xml:space="preserve">	Amecameca </t>
  </si>
  <si>
    <t xml:space="preserve">	Apaxco </t>
  </si>
  <si>
    <t xml:space="preserve">	Atenco </t>
  </si>
  <si>
    <t xml:space="preserve">	Atizapán de Zaragoza </t>
  </si>
  <si>
    <t xml:space="preserve">	Atlautla </t>
  </si>
  <si>
    <t xml:space="preserve">	Axapusco </t>
  </si>
  <si>
    <t xml:space="preserve">	Ayapango </t>
  </si>
  <si>
    <t xml:space="preserve">	Coacalco de Berriozábal </t>
  </si>
  <si>
    <t xml:space="preserve">	Cocotitlán </t>
  </si>
  <si>
    <t xml:space="preserve">	Coyotepec </t>
  </si>
  <si>
    <t xml:space="preserve">	Cuautitlán </t>
  </si>
  <si>
    <t xml:space="preserve">	Chalco </t>
  </si>
  <si>
    <t xml:space="preserve">	Chiautla </t>
  </si>
  <si>
    <t xml:space="preserve">	Chicoloapan </t>
  </si>
  <si>
    <t xml:space="preserve">	Chiconcuac </t>
  </si>
  <si>
    <t xml:space="preserve">	Chimalhuacán </t>
  </si>
  <si>
    <t xml:space="preserve">	Ecatepec de Morelos </t>
  </si>
  <si>
    <t xml:space="preserve">	Ecatzingo </t>
  </si>
  <si>
    <t xml:space="preserve">	Huehuetoca </t>
  </si>
  <si>
    <t xml:space="preserve">	Hueypoxtla </t>
  </si>
  <si>
    <t xml:space="preserve">	Huixquilucan </t>
  </si>
  <si>
    <t xml:space="preserve">	Isidro Fabela </t>
  </si>
  <si>
    <t xml:space="preserve">	Ixtapaluca </t>
  </si>
  <si>
    <t xml:space="preserve">	Jaltenco </t>
  </si>
  <si>
    <t xml:space="preserve">	Jilotzingo </t>
  </si>
  <si>
    <t xml:space="preserve">	Juchitepec </t>
  </si>
  <si>
    <t xml:space="preserve">	Melchor Ocampo </t>
  </si>
  <si>
    <t xml:space="preserve">	Naucalpan de Juárez </t>
  </si>
  <si>
    <t xml:space="preserve">	Nezahualcóyotl </t>
  </si>
  <si>
    <t xml:space="preserve">	Nextlalpan </t>
  </si>
  <si>
    <t xml:space="preserve">	Nicolás Romero </t>
  </si>
  <si>
    <t xml:space="preserve">	Nopaltepec </t>
  </si>
  <si>
    <t xml:space="preserve">	Otumba </t>
  </si>
  <si>
    <t xml:space="preserve">	Ozumba </t>
  </si>
  <si>
    <t xml:space="preserve">	Papalotla </t>
  </si>
  <si>
    <t xml:space="preserve">	La Paz </t>
  </si>
  <si>
    <t xml:space="preserve">	San Martín de las Pirámides </t>
  </si>
  <si>
    <t xml:space="preserve">	Tecámac </t>
  </si>
  <si>
    <t xml:space="preserve">	Temamatla </t>
  </si>
  <si>
    <t xml:space="preserve">	Temascalapa </t>
  </si>
  <si>
    <t xml:space="preserve">	Tenango del Aire </t>
  </si>
  <si>
    <t xml:space="preserve">	Teoloyucan </t>
  </si>
  <si>
    <t xml:space="preserve">	Teotihuacán </t>
  </si>
  <si>
    <t xml:space="preserve">	Tepetlaoxtoc </t>
  </si>
  <si>
    <t xml:space="preserve">	Tepetlixpa </t>
  </si>
  <si>
    <t xml:space="preserve">	Tepotzotlán </t>
  </si>
  <si>
    <t xml:space="preserve">	Tequixquiac </t>
  </si>
  <si>
    <t xml:space="preserve">	Texcoco </t>
  </si>
  <si>
    <t xml:space="preserve">	Tezoyuca </t>
  </si>
  <si>
    <t xml:space="preserve">	Tlalmanalco </t>
  </si>
  <si>
    <t xml:space="preserve">	Tlalnepantla de Baz </t>
  </si>
  <si>
    <t xml:space="preserve">	Tultepec </t>
  </si>
  <si>
    <t xml:space="preserve">	Tultitlán </t>
  </si>
  <si>
    <t xml:space="preserve">	Villa del Carbón </t>
  </si>
  <si>
    <t xml:space="preserve">	Zumpango </t>
  </si>
  <si>
    <t xml:space="preserve">	Cuautitlán Izcalli </t>
  </si>
  <si>
    <t xml:space="preserve">	Valle de Chalco Solidaridad </t>
  </si>
  <si>
    <t xml:space="preserve">	Tonanitla </t>
  </si>
  <si>
    <t>INEGI, 2015</t>
  </si>
  <si>
    <t>CONEVAL, 2015</t>
  </si>
  <si>
    <t>CO2e per capita Tizayuca=7.31984562</t>
  </si>
  <si>
    <t>Municipality</t>
  </si>
  <si>
    <t>Population  2015</t>
  </si>
  <si>
    <t>Urban (more than 15 thousand inhabitants)</t>
  </si>
  <si>
    <t>Mixed (between 2,500 and 14,999 inhabitants)</t>
  </si>
  <si>
    <t>Rural (less than 2,499 inhabitants)</t>
  </si>
  <si>
    <t>Population 2030</t>
  </si>
  <si>
    <t xml:space="preserve">Sources: </t>
  </si>
  <si>
    <t>Population projection 2050</t>
  </si>
  <si>
    <t>Residential density, 2015 (buildings per km2)</t>
  </si>
  <si>
    <t>Economic density (millions /km2)</t>
  </si>
  <si>
    <t>Poverty (percentage, 2015)</t>
  </si>
  <si>
    <t>Unemployment, 2015 (population of 12 years old or more, economically inactive)</t>
  </si>
  <si>
    <t>Population affiliated to health services</t>
  </si>
  <si>
    <t>Popular insurance</t>
  </si>
  <si>
    <t>Private insurance</t>
  </si>
  <si>
    <t>Vehicle fleet</t>
  </si>
  <si>
    <t>Motorization rate</t>
  </si>
  <si>
    <t>Elctrical energy per capita consumption - 2018 (kwh/inhabitant, year)</t>
  </si>
  <si>
    <t>Total municipal electrical energy consumption (2018)</t>
  </si>
  <si>
    <t xml:space="preserve"> KWh</t>
  </si>
  <si>
    <t>Mejoules</t>
  </si>
  <si>
    <t>Per cápita domestic sales of petroleum products</t>
  </si>
  <si>
    <t>Gasoline (MJ/year, 2019; does not include ilegal sales of gasoline)</t>
  </si>
  <si>
    <t>Diesel (MJ/year, 2019; does not include ilegal sales of gasoline)</t>
  </si>
  <si>
    <t>Total consumption of liquid fuels (MJ/year, 2019)</t>
  </si>
  <si>
    <t>Total water consumption - 2018 (liters/inhabitant, per day); it includes all types of formal provisions.</t>
  </si>
  <si>
    <t>Per capita water endowment - 2018 (liters/inhabitant)</t>
  </si>
  <si>
    <t>n.a.</t>
  </si>
  <si>
    <t>Degree of climate vulnerability (as officially recognized)</t>
  </si>
  <si>
    <t>Degree of current climate-environmental local institutional capacities (as evaluated by ICI-CLIMA)</t>
  </si>
  <si>
    <t>Average Urban Density (AUD)</t>
  </si>
  <si>
    <t>Increase of DMC 2015 - 2050 (%)</t>
  </si>
  <si>
    <t>Year</t>
  </si>
  <si>
    <t>Ammount</t>
  </si>
  <si>
    <t xml:space="preserve">Accumulated GDP growth by 2050 </t>
  </si>
  <si>
    <t>Average increase per year</t>
  </si>
  <si>
    <t>DMC/residential density (2015)</t>
  </si>
  <si>
    <t>DMC per capita 2015 (tons, year)</t>
  </si>
  <si>
    <t>Total Domestic Material Consumption (DMC) - 2015 (tons, years)</t>
  </si>
  <si>
    <t>Total DMC - 2050 (lower value based on population increase) (tons, year)</t>
  </si>
  <si>
    <t>Total DMC - 2050 (high value, based on real GDP increase) (tons, year)</t>
  </si>
  <si>
    <t>Total DMC - 2050 (average lower &amp; higher values) (tons, year)</t>
  </si>
  <si>
    <t>DMC per capita 2050 (average lower &amp; higher values) (tons, year)</t>
  </si>
  <si>
    <t xml:space="preserve">n.a. </t>
  </si>
  <si>
    <t>DMC/residential density (2050)</t>
  </si>
  <si>
    <t>Residential density by 2050; based on 2015 per capita bulding density (buildings per km2)</t>
  </si>
  <si>
    <t>IGECEM, 2018</t>
  </si>
  <si>
    <t xml:space="preserve">Population, 2015: </t>
  </si>
  <si>
    <t xml:space="preserve">Population by size, 2015: </t>
  </si>
  <si>
    <t>*Data for Tultepec population based on the Municipal Development Plan 2019 - 2021 Online: http://tultepec.gob.mx/pdf/2019/PDM%20Tultepec%202019-2021.pdf</t>
  </si>
  <si>
    <t>INEGI. Encuesta intercensal 2015. Online: https://www.inegi.org.mx/programas/intercensal/2015/</t>
  </si>
  <si>
    <t>* Datafor Tizayuca population extrapolated, based on the municipal profile of 2010: Online: http://poblacion.hidalgo.gob.mx/pdf/perfiles/pp_municipios-Tizayuca.pdf</t>
  </si>
  <si>
    <t>* Data for rural population in Mexico City  based on the 2010 Population Census: https://www.inegi.org.mx/contenidos/programas/ccpv/2010/microdatos/cinco_mil_menos/resloc_09_2010_xls.zip</t>
  </si>
  <si>
    <t>* Data for the Sate of Mexico from the IGECEM's basic statistical data 2018. Online: https://igecem.edomex.gob.mx/sites/igecem.edomex.gob.mx/files/files/ArchivosPDF/Productos-Estadisticos/Indole-Social/EBM/Estadistica_Basica_Municipal_del_Estado_de_Mexico_2018_1raParte.zip</t>
  </si>
  <si>
    <t>Population 2030:</t>
  </si>
  <si>
    <t>CONAPO, 2010</t>
  </si>
  <si>
    <t>CONAPO. Proyecciones de la población de los municipios que componen las zonas metropolitanas, 2010 - 2030. Online: http://www.conapo.gob.mx/work/models/CONAPO/Resource/1206/2/images/Proyecciones_de_Poblacion_ZM.xlsx</t>
  </si>
  <si>
    <t>Population 2050:</t>
  </si>
  <si>
    <t>Estimated</t>
  </si>
  <si>
    <t>Per capita urban</t>
  </si>
  <si>
    <t>Per capita mixed</t>
  </si>
  <si>
    <t>Per capita rural</t>
  </si>
  <si>
    <t>Average CO2 emissions</t>
  </si>
  <si>
    <t>CO2e per capita Mexico City= 2.46730868</t>
  </si>
  <si>
    <t>CO2e per capita State of Mexico= 3.32632828</t>
  </si>
  <si>
    <t>Average urban density:</t>
  </si>
  <si>
    <t>Based on data for the year 2000 from CONAPO, 2004. Delimitación de las zonas metropolitanas de México. Online: http://www.conapo.gob.mx/work/models/CONAPO/zonas_metropolitanas2000/completo.pdf</t>
  </si>
  <si>
    <t>CONAPO, 2004</t>
  </si>
  <si>
    <t>* All other years projected on the basis of urban population growth data</t>
  </si>
  <si>
    <t>Residential density:</t>
  </si>
  <si>
    <t>Based on data of INEGI (Encuesta Intercensal 2015, avilable online: www.inegi.org.mx/programas/intercensal/2015) adjusted with the latest data on built area, reported by local goverments. Taken from: https://transformacionurbana.mx/es/proyectos/interfaz_cp/diagnostico-zmvm/diagnostico-metropolitano/</t>
  </si>
  <si>
    <t>* 2050 data is an estimation based on 2015 per capita residencial density and urban populationdata of 2050</t>
  </si>
  <si>
    <t>INEGI. Censos Económicos 2019. Online: https://www.inegi.org.mx/programas/ce/2019/#Datos_abiertos</t>
  </si>
  <si>
    <t>GDP per capita- 2018 (millions of MX pesos/inhabitant, year)</t>
  </si>
  <si>
    <t>GDP per capita 2018:</t>
  </si>
  <si>
    <t>Total GDP, 2018:</t>
  </si>
  <si>
    <t>Estimation based on Total GDP 2018 and population data of 2015</t>
  </si>
  <si>
    <t>Total GDP - 2018 (millions of MX pesos, year)</t>
  </si>
  <si>
    <t>INEGI, 2019</t>
  </si>
  <si>
    <t>PCTU</t>
  </si>
  <si>
    <t>Economic density:</t>
  </si>
  <si>
    <t>Estimation based on Total GDP and administrative municipal area</t>
  </si>
  <si>
    <t>Administrative area (km2)</t>
  </si>
  <si>
    <t>Poverty:</t>
  </si>
  <si>
    <t>CONEVAL. Medición de la pobreza, Estados Unidos Mexicanos. 2010-2015. Online: https://www.coneval.org.mx/Medicion/Documents/Pobreza_municipal/Concentrado_indicadores_de_pobreza.zip</t>
  </si>
  <si>
    <t xml:space="preserve">Unemployment 2015: </t>
  </si>
  <si>
    <t>INEGI. Data Bank. Porcentaje de la población de 12 años y más economicamente activa no ocupada, 2015. Online: https://www.inegi.org.mx/app/indicadores/</t>
  </si>
  <si>
    <t>INEGI</t>
  </si>
  <si>
    <t>Education 2015:</t>
  </si>
  <si>
    <t>INEGI. Data Bank. Porcentaje de la población de 15 años y más sin escolaridad y con escolaridad básica, 2015. Online: https://www.inegi.org.mx/app/indicadores/</t>
  </si>
  <si>
    <t>Population with  basic education or  not educated (percentage, 2015)</t>
  </si>
  <si>
    <t>INEGI. Data Bank. Porcentaje de la población afiliada a servicios de salud, 2015. Online: https://www.inegi.org.mx/app/indicadores/</t>
  </si>
  <si>
    <t>* Specific desagragated data by type of health service (private and popular isurance) corresponds to the same source</t>
  </si>
  <si>
    <t>Affiliation to health services, 2015:</t>
  </si>
  <si>
    <t>CFE, 2019: Electrical energy consuption by municipality. Online: https://potcorporativo.cfe.mx/XXX%20Estadsticas%20generadas/Bases%20de%20datos%20respectivas/DCO/2019/2019_UsuariosyConsumoporMunicipio_Ene.zip</t>
  </si>
  <si>
    <t>INEGI. Data Bank. Vehículos registrados en circulación, 2019. Online: https://www.inegi.org.mx/app/indicadores/</t>
  </si>
  <si>
    <t xml:space="preserve">Electrical energy consumption, 2018: </t>
  </si>
  <si>
    <t xml:space="preserve">Vehicle fleet, 2019: </t>
  </si>
  <si>
    <t>Pteroleum product sales, 2018:</t>
  </si>
  <si>
    <t xml:space="preserve">Based on per capita sale volumes in 2018 of Azcapotzalco, Barranca del Muerto, Oriente and San Juan Ixhuatepec superintendencies, as reported by SENER. Online: http://sie.energia.gob.mx/bdiController.do?action=cuadro&amp;subAction=applyOptions.   </t>
  </si>
  <si>
    <t>Conversion factors to joules based on CONUEE: https://www.conuee.gob.mx/transparencia/boletines/SITE/LISTA_DE_COMBUSTIBLES_2020.pdf</t>
  </si>
  <si>
    <t xml:space="preserve">* Conversion factors to joules based on SIE-SENER: https://www.conuee.gob.mx/transparencia/boletines/SITE/LISTA_DE_COMBUSTIBLES_2020.pdf </t>
  </si>
  <si>
    <t>SIE, 2018</t>
  </si>
  <si>
    <t>CFE, 2018</t>
  </si>
  <si>
    <t>SEDEMA, 2018</t>
  </si>
  <si>
    <t>Based on data from local water operating agencies reported to CONAGUA. Personal communication.</t>
  </si>
  <si>
    <t>DMC (all years):</t>
  </si>
  <si>
    <t>Wastewater, 2015:</t>
  </si>
  <si>
    <t>Water endowment, 2018:</t>
  </si>
  <si>
    <t>Water consumption, 2018:</t>
  </si>
  <si>
    <t xml:space="preserve">Wastewater, 2015 (liters per second). </t>
  </si>
  <si>
    <t>CO2 emissions - 2016 (tons/year)</t>
  </si>
  <si>
    <t>Total CO2 emissions, adjusted - 2016</t>
  </si>
  <si>
    <t>Municipal solid waste, 2014:</t>
  </si>
  <si>
    <t>ICI-CLIMA, 2019. As reported by the Knowledge Platform for Urban Transformation. Available at: https://zenodo.org/record/3984235/files/ICI-CLIMA%202019.pdf?download=1</t>
  </si>
  <si>
    <t>Climate vulnerability:</t>
  </si>
  <si>
    <t>As reported by local climate change action plans of Mexico City (Online: http://www.data.sedema.cdmx.gob.mx/cambioclimaticocdmx/programas_accion_climatica_delegaciones.html) and the State of Mexico's Climate Change Action Program 2018 (Online: https://drive.google.com/file/d/1Dq8JVKnYS9sFjwe70QAXfwH5QFm9Yff1/view?usp=sharing)</t>
  </si>
  <si>
    <t>Based on data from local water operating agencies reported to CONAGUA. Personal communication. Online: https://drive.google.com/file/d/1CB9XhVtwyGckNUFnCindPPTGO4mYwTi9/view?usp=sharing</t>
  </si>
  <si>
    <t>CO2 emissions, 2016:</t>
  </si>
  <si>
    <t>Local climate environmental institutional capacities, 2019:</t>
  </si>
  <si>
    <t>CONAGUA, 2018</t>
  </si>
  <si>
    <t>Based on data reported by the regional programs of the State of Mexico 2017-2023, and the government of Mexico City (SEDEMA, 2017. Inventario de Residuos Sólidos CDMX. Online: https://www.sedema.cdmx.gob.mx/storage/app/media/IRS_2017_FINAL_BAJA.pdf). Taken from PCTU: https://transformacionurbana.mx/en/projects/interface_sp/assessment_gov/metro/</t>
  </si>
  <si>
    <t>Estimation based on per capita emissions for 2016 as reported by SEDEMA (total CO2e emissions for Mexico City were 22,005,070 tons; for the State of Mexico 39,435,714 tons; and for Tizayuca 874,297 tons). SEDEMA. 2018. Inventario de emissiones 2016. Online: http://www.aire.cdmx.gob.mx/descargas/publicaciones/flippingbook/inventario-emisiones-2016/mobile/</t>
  </si>
  <si>
    <t>Based on locally reported volumes for the case of the conurbated municipalities (as indicated in Municipal Development Plans, 2019-2021). For Mexico City data corresponds to  SEDEMA, 2018. Registro de descargas de aguas residuales de la CDMX 2015. Online: https://www.sedema.cdmx.gob.mx/storage/app/media/rdar-2015publicacionn</t>
  </si>
  <si>
    <t>Table 1. Real GDP per cápita (USD ppp), as projected by the OECD</t>
  </si>
  <si>
    <t>* Adjusted emissions asumming 75% and 50% less emissions for mixed and rural population, respectively, in relation to urban population average emissions. See table 2 bellow.</t>
  </si>
  <si>
    <t>Estimations based on a methodology developed for UNEP's forthcoming report on "The weight of cities in Latin America and the Caribbean". Main components of such metodology are IRP's data on national DMC, an urban consumption proxy based on GDP and consumption patterns, and projections of population and economic growth (see Table 1).</t>
  </si>
  <si>
    <t>Estimation based on CONAPO's total population data for 2050 at a state level (the only available), and the weight of the population of each municipality in 2030 as projected by CONAPO, 2010. Population data 2050 available online: https://www.gob.mx/conapo/documentos/cuadernillos-estatales-de-las-proyecciones-de-la-poblacion-de-mexico-y-de-las-entidades-federativas-2016-2050-208243?idiom=es</t>
  </si>
  <si>
    <t>n.a</t>
  </si>
  <si>
    <t>Rural</t>
  </si>
  <si>
    <t xml:space="preserve">                      -  </t>
  </si>
  <si>
    <t>%</t>
  </si>
  <si>
    <t>Urban centre</t>
  </si>
  <si>
    <t>Urban cluster</t>
  </si>
  <si>
    <t>TOTAL</t>
  </si>
  <si>
    <t xml:space="preserve">                                    -  </t>
  </si>
  <si>
    <t xml:space="preserve">                        -  </t>
  </si>
  <si>
    <t>Population, 2015</t>
  </si>
  <si>
    <t>Population, 2035</t>
  </si>
  <si>
    <t>Population, 2050</t>
  </si>
  <si>
    <t>Built area, 2015</t>
  </si>
  <si>
    <t>Built area, 2035</t>
  </si>
  <si>
    <t>Built area, 2050</t>
  </si>
  <si>
    <t>&lt; 500 thousand</t>
  </si>
  <si>
    <t>500 thousand to 1 million</t>
  </si>
  <si>
    <t>1 - 5 millions</t>
  </si>
  <si>
    <t>&gt; 10 millions</t>
  </si>
  <si>
    <t>Urban</t>
  </si>
  <si>
    <t>Population</t>
  </si>
  <si>
    <t>Built area</t>
  </si>
  <si>
    <t>Population (inhabitants)</t>
  </si>
  <si>
    <t>Population (%)</t>
  </si>
  <si>
    <t>Built area (km2)</t>
  </si>
  <si>
    <t>5 -10 millions</t>
  </si>
  <si>
    <t xml:space="preserve">2015-2035 tendency: </t>
  </si>
  <si>
    <t>Biomass</t>
  </si>
  <si>
    <t>Fossil fuels</t>
  </si>
  <si>
    <t>Metal ores</t>
  </si>
  <si>
    <t>Non-metallic minerals</t>
  </si>
  <si>
    <t>National DMC composition 2015</t>
  </si>
  <si>
    <t>Urban DMC 2015 and 2050</t>
  </si>
  <si>
    <t>* CO2 per capita emissions were calculated with population data of 2015 and adjusted CO2 emissions.</t>
  </si>
  <si>
    <t>Municipal solid waste per capita (kg daily)</t>
  </si>
  <si>
    <t>Municipal solid waste (total) – 2014 (tons daily)</t>
  </si>
  <si>
    <t>CO2 emissions adjusted per capita (kg daily)</t>
  </si>
  <si>
    <t>CONACYT et al</t>
  </si>
  <si>
    <t>Covid officially confirmed cases (until Nov 24th, 2020)</t>
  </si>
  <si>
    <t>COVID-19 :</t>
  </si>
  <si>
    <t>All data based on official information availabe at: https://datos.covid-19.conacyt.mx/</t>
  </si>
  <si>
    <t>COVID deaths (until Nov 24th, 2020)</t>
  </si>
  <si>
    <t>Transmission rate (cases/total pop)</t>
  </si>
  <si>
    <t>Death rates (deaths/total pop)</t>
  </si>
  <si>
    <t>1 – 5 millions</t>
  </si>
  <si>
    <t>5 – 10 milions</t>
  </si>
  <si>
    <t>Real per capita GDP forecast (USD ppp), según la OECD</t>
  </si>
  <si>
    <t>Amount</t>
  </si>
  <si>
    <t>(expecte per capita GDP growth for the analyzed period)</t>
  </si>
  <si>
    <t>(GDP average growth rate)</t>
  </si>
  <si>
    <t>* COVID-19 impact adjustment</t>
  </si>
  <si>
    <t>Total Agricultural urban WF (2015)</t>
  </si>
  <si>
    <t>(millions of m3, yearly)</t>
  </si>
  <si>
    <t>Total Industrial Urban WF (2015)</t>
  </si>
  <si>
    <t>Total Domestic urban WF (2015)</t>
  </si>
  <si>
    <t>Total urban consumption WF_outflows (2015)</t>
  </si>
  <si>
    <t>Total urban consumption WF_inflows (2015)</t>
  </si>
  <si>
    <t>Total urban WF (2015)</t>
  </si>
  <si>
    <t>Urban Water Footprint estimation for Mexico's urban system</t>
  </si>
  <si>
    <t>Total Agricultural urban WF (2050_p)</t>
  </si>
  <si>
    <t>Total Industrial Urban WF (2050_p)</t>
  </si>
  <si>
    <t>Total Domestic urban WF (2050_p)</t>
  </si>
  <si>
    <t>Total urban WF (2050_p)</t>
  </si>
  <si>
    <t>Total urban consumption WF_inflows (2050_p)</t>
  </si>
  <si>
    <t>Total urban consumption WF_outflows (2050_p)</t>
  </si>
  <si>
    <t>Total Agricultural urban WF (2050_p+$)</t>
  </si>
  <si>
    <t>Total Industrial Urban WF (2050_p+$)</t>
  </si>
  <si>
    <t>Total Domestic urban WF (2050_p+$)</t>
  </si>
  <si>
    <t>Total urban WF (2050_p+$)</t>
  </si>
  <si>
    <t>* FAO estimates 9 million undernourished population in Mexico or 7.14904453 % of 2015 total population.</t>
  </si>
  <si>
    <t>Based on Water Footprint National Accounts (https://waterfootprint.org/media/downloads/Report50-Appendix-VIII&amp;IX.xls) and Mexico's factor U.</t>
  </si>
  <si>
    <t>Waste generation in Mexico's cities</t>
  </si>
  <si>
    <t>Factor U (2015)</t>
  </si>
  <si>
    <t>Estimation of urban MSW, 2015 (tons, year)</t>
  </si>
  <si>
    <t>Total MSW generated, 2010 - What a Waste 2.0 (tons, year)</t>
  </si>
  <si>
    <t xml:space="preserve">Total Population, 2015 </t>
  </si>
  <si>
    <t>Per cápita urban MSW, 2015 (tons, year)</t>
  </si>
  <si>
    <t>Estimation of urban MSW, 2050_p (tons, year)</t>
  </si>
  <si>
    <t>Estimation of urban MSW, 2050_p+$ (tons, year)</t>
  </si>
  <si>
    <t>Based on national data of the World Bank (https://development-data-hub-s3-public.s3.amazonaws.com/ddhfiles/140602/country_level_data_0.csv) and Mexico`s factor U.</t>
  </si>
  <si>
    <t xml:space="preserve">Mexico's urban GHG estimations </t>
  </si>
  <si>
    <t>Based on data of the World Bank (https://data.worldbank.org/indicator/EN.ATM.CO2E.PC) and Mexico's factor U</t>
  </si>
  <si>
    <t>Total GHG emissions, 2015</t>
  </si>
  <si>
    <t>National GHG per capita emissions, 2015</t>
  </si>
  <si>
    <t>Total urban GHG emissions, 2015</t>
  </si>
  <si>
    <t>Total urban GHG emissions_p, 2015</t>
  </si>
  <si>
    <t>Total urban GHG emissions_p+$, 2015</t>
  </si>
  <si>
    <t>INEGI. Encuesta Nacional de Ingresos y Gastos de los Hogares. ENIGH 2016. Tabulados básicos. 2017.</t>
  </si>
  <si>
    <r>
      <t xml:space="preserve">HOGARES POR LA COMPOSICIÓN DE LOS GRANDES RUBROS DEL GASTO CORRIENTE MONETARIO TRIMESTRAL SEGÚN TAMAÑO DE LOCALIDAD 
</t>
    </r>
    <r>
      <rPr>
        <sz val="10"/>
        <rFont val="Arial"/>
        <family val="2"/>
      </rPr>
      <t xml:space="preserve">(Miles de pesos*) </t>
    </r>
  </si>
  <si>
    <t>CUADRO 4.1</t>
  </si>
  <si>
    <t>COMPOSICIÓN DE LOS GRANDES RUBROS 
DEL GASTO</t>
  </si>
  <si>
    <t>TAMAÑO DE LOCALIDAD</t>
  </si>
  <si>
    <t>DE 2 500 Y MÁS 
HABITANTES</t>
  </si>
  <si>
    <t>DE MENOS DE 2 500  HABITANTES</t>
  </si>
  <si>
    <r>
      <t>HOGARES</t>
    </r>
    <r>
      <rPr>
        <vertAlign val="superscript"/>
        <sz val="9"/>
        <rFont val="Arial"/>
        <family val="2"/>
      </rPr>
      <t>1</t>
    </r>
  </si>
  <si>
    <t>GASTO</t>
  </si>
  <si>
    <t>GASTO CORRIENTE MONETARIO</t>
  </si>
  <si>
    <t>ALIMENTOS, BEBIDAS Y TABACO</t>
  </si>
  <si>
    <t>ALIMENTOS Y BEBIDAS CONSUMIDAS 
DENTRO DEL HOGAR</t>
  </si>
  <si>
    <t>ALIMENTOS Y BEBIDAS CONSUMIDAS 
FUERA DEL HOGAR</t>
  </si>
  <si>
    <t>TABACO</t>
  </si>
  <si>
    <t>VESTIDO Y CALZADO</t>
  </si>
  <si>
    <t>VESTIDO</t>
  </si>
  <si>
    <t>CALZADO Y SU REPARACIÓN</t>
  </si>
  <si>
    <t xml:space="preserve">VIVIENDA Y SERVICIOS DE CONSERVACIÓN, ENERGÍA ELÉCTRICA Y COMBUSTIBLES 
</t>
  </si>
  <si>
    <t>ALQUILERES BRUTOS</t>
  </si>
  <si>
    <t>IMPUESTO PREDIAL Y CUOTAS POR SERVICIOS 
DE CONSERVACIÓN</t>
  </si>
  <si>
    <t>AGUA</t>
  </si>
  <si>
    <t>ELECTRICIDAD Y COMBUSTIBLES</t>
  </si>
  <si>
    <t xml:space="preserve">ARTÍCULOS Y SERVICIOS PARA LA LIMPIEZA, CUIDADOS DE LA CASA, ENSERES DOMÉSTICOS Y MUEBLES, CRISTALERÍA, UTENSILIOS DOMÉSTICOS Y BLANCOS  </t>
  </si>
  <si>
    <t>ARTÍCULOS Y SERVICIOS PARA LA LIMPIEZA 
Y CUIDADOS DE LA CASA</t>
  </si>
  <si>
    <t xml:space="preserve">CRISTALERÍA, BLANCOS Y UTENSILIOS DOMÉSTICOS </t>
  </si>
  <si>
    <t>ENSERES DOMÉSTICOS</t>
  </si>
  <si>
    <t>CUIDADOS DE LA SALUD</t>
  </si>
  <si>
    <t xml:space="preserve">TRANSPORTE; ADQUISICIÓN, MANTENIMIENTO,
ACCESORIOS Y SERVICIOS PARA VEHÍCULOS; COMUNICACIONES </t>
  </si>
  <si>
    <t>TRANSPORTE PÚBLICO</t>
  </si>
  <si>
    <t xml:space="preserve">TRANSPORTE FORÁNEO </t>
  </si>
  <si>
    <t>ADQUISICIÓN DE VEHÍCULOS DE USO 
PARTICULAR</t>
  </si>
  <si>
    <t>REFACCIONES, PARTES, ACCESORIOS, MANTENIMIENTO,COMBUSTIBLES Y SERVICIO 
PARA VEHÍCULOS</t>
  </si>
  <si>
    <t>COMUNICACIONES</t>
  </si>
  <si>
    <t>SERVICIOS DE EDUCACIÓN, ARTÍCULOS EDUCATIVOS, ARTÍCULOS DE ESPARCIMIENTO Y OTROS GASTOS DE ESPARCIMIENTO</t>
  </si>
  <si>
    <t>ARTÍCULOS Y SERVICIOS DE EDUCACIÓN</t>
  </si>
  <si>
    <t>ARTÍCULOS Y SERVICIOS DE ESPARCIMIENTO</t>
  </si>
  <si>
    <t>PAQUETES TURÍSTICOS Y PARA FIESTAS, HOSPEDAJE 
Y ALOJAMIENTO</t>
  </si>
  <si>
    <t>CUIDADOS PERSONALES, ACCESORIOS Y EFECTOS PERSONALES Y OTROS GASTOS DIVERSOS</t>
  </si>
  <si>
    <t>CUIDADOS PERSONALES</t>
  </si>
  <si>
    <t>ACCESORIOS Y EFECTOS PERSONALES</t>
  </si>
  <si>
    <t>OTROS GASTOS DIVERSOS</t>
  </si>
  <si>
    <t>TRANSFERENCIAS DE GASTO</t>
  </si>
  <si>
    <r>
      <rPr>
        <b/>
        <sz val="8"/>
        <color theme="1"/>
        <rFont val="Arial"/>
        <family val="2"/>
      </rPr>
      <t>Nota:</t>
    </r>
    <r>
      <rPr>
        <sz val="8"/>
        <color theme="1"/>
        <rFont val="Arial"/>
        <family val="2"/>
      </rPr>
      <t xml:space="preserve"> Las estimaciones que aparecen en este cuadro están coloreadas de acuerdo con su nivel de precisión, en Alta, Moderada y Baja, tomando como referencia el coeficiente de variación CV (%). Una precisión Baja requiere un uso cauteloso de la estimación en el que se analicen las causas de la alta variabilidad y se consideren otros indicadores de precisión y confiabilidad, como el intervalo de confianza.</t>
    </r>
  </si>
  <si>
    <t>Nivel de precisión de las estimaciones:</t>
  </si>
  <si>
    <r>
      <t xml:space="preserve">     </t>
    </r>
    <r>
      <rPr>
        <b/>
        <sz val="8"/>
        <color theme="1"/>
        <rFont val="Arial"/>
        <family val="2"/>
      </rPr>
      <t>Alta,</t>
    </r>
    <r>
      <rPr>
        <sz val="8"/>
        <color theme="1"/>
        <rFont val="Arial"/>
        <family val="2"/>
      </rPr>
      <t xml:space="preserve"> CV en el rango de (0,15) </t>
    </r>
  </si>
  <si>
    <r>
      <t xml:space="preserve">     </t>
    </r>
    <r>
      <rPr>
        <b/>
        <sz val="8"/>
        <color theme="1"/>
        <rFont val="Arial"/>
        <family val="2"/>
      </rPr>
      <t>Moderada,</t>
    </r>
    <r>
      <rPr>
        <sz val="8"/>
        <color theme="1"/>
        <rFont val="Arial"/>
        <family val="2"/>
      </rPr>
      <t xml:space="preserve"> CV en el rango de [15,30) </t>
    </r>
  </si>
  <si>
    <r>
      <rPr>
        <b/>
        <sz val="8"/>
        <color theme="1"/>
        <rFont val="Arial"/>
        <family val="2"/>
      </rPr>
      <t xml:space="preserve">     Baja</t>
    </r>
    <r>
      <rPr>
        <sz val="8"/>
        <color theme="1"/>
        <rFont val="Arial"/>
        <family val="2"/>
      </rPr>
      <t>, CV de 30% en adelante</t>
    </r>
  </si>
  <si>
    <t>*  Los datos son expresados en miles de pesos, motivo por el cual se puede encontrar una diferencia en las cifras totales por cuestiones de redondeo.</t>
  </si>
  <si>
    <t>Se incluye el total de hogares que reportaron gasto corriente monetario trimestral durante el periodo de referencia</t>
  </si>
  <si>
    <r>
      <t xml:space="preserve">Fuente: </t>
    </r>
    <r>
      <rPr>
        <b/>
        <sz val="8"/>
        <rFont val="Arial"/>
        <family val="2"/>
      </rPr>
      <t>INEGI</t>
    </r>
    <r>
      <rPr>
        <sz val="8"/>
        <rFont val="Arial"/>
        <family val="2"/>
      </rPr>
      <t>. Encuesta Nacional de Ingresos y Gastos de los Hogares 2016.</t>
    </r>
  </si>
  <si>
    <t>year</t>
  </si>
  <si>
    <t>Rural GDP</t>
  </si>
  <si>
    <t>Urban GDP</t>
  </si>
  <si>
    <t>GDP data from CEPALSTAT. Rural GDP is the addition of primary economic activities + extractive activities. Urban GDP is the total Secondary and tertiary activities minus extractive activities (oil and minerals)</t>
  </si>
  <si>
    <t>Average of the period</t>
  </si>
  <si>
    <t>DMC Estimations</t>
  </si>
  <si>
    <t xml:space="preserve">DMC 2050 </t>
  </si>
  <si>
    <t xml:space="preserve">DMC 2015 </t>
  </si>
  <si>
    <t>DMC 2050 (p)</t>
  </si>
  <si>
    <t>DMC 2050 (p+$)</t>
  </si>
  <si>
    <t>DMC_u 2015</t>
  </si>
  <si>
    <t>DMC_u 2050 (p)</t>
  </si>
  <si>
    <t>DMC_u 2050 (p+$)</t>
  </si>
  <si>
    <t>DMC_u 2050 (average)</t>
  </si>
  <si>
    <t>Annual rate growth (%)</t>
  </si>
  <si>
    <t>Annual rate growth</t>
  </si>
  <si>
    <t>DMC per cap</t>
  </si>
  <si>
    <t>Total national urban WF (2015)</t>
  </si>
  <si>
    <t>Total national urban consumption WF_inflows (2015)</t>
  </si>
  <si>
    <t>Total national urban consumption WF_outflows (2015)</t>
  </si>
  <si>
    <t>Total MVMA WF (2015)</t>
  </si>
  <si>
    <t>Total MVMA consumption WF_inflows (2015)</t>
  </si>
  <si>
    <t>Total MVMA consumption WF_outflows (2015)</t>
  </si>
  <si>
    <t>WF of the MVMA (millions of m3, yearly)</t>
  </si>
  <si>
    <t>Total MVMA WF_p (2050)</t>
  </si>
  <si>
    <t>Total MVMA consumption WF_p inflows (2050)</t>
  </si>
  <si>
    <t>Total MVMA consumption WF_p outflows (2050)</t>
  </si>
  <si>
    <t>Total MVMA WF_p+$ (2050)</t>
  </si>
  <si>
    <t>Total MVMA consumption WF_p+$ inflows (2050)</t>
  </si>
  <si>
    <t>Total MVMA consumption WF_p+$ outflows (2050)</t>
  </si>
  <si>
    <t>Table 2. CO2e estimations, 2015</t>
  </si>
  <si>
    <t>MSW 2050_p</t>
  </si>
  <si>
    <t>MSW2050_p+$</t>
  </si>
  <si>
    <t>MSW 2015</t>
  </si>
  <si>
    <t>GHG 2050_p</t>
  </si>
  <si>
    <t>GHG 2050_p+$</t>
  </si>
  <si>
    <t>GHG 2016</t>
  </si>
  <si>
    <t>tons per capita, year</t>
  </si>
  <si>
    <t>kg per capita, day</t>
  </si>
  <si>
    <t>Total (tons, year)</t>
  </si>
  <si>
    <t>Per capita (kg, day)</t>
  </si>
  <si>
    <t>MSW 2050 average increase</t>
  </si>
  <si>
    <t>GHG 2050 average increase</t>
  </si>
  <si>
    <t>Total MVAM WF, 2015 (m3, day)</t>
  </si>
  <si>
    <t>Total MVAM WF_p+$, 2050 (m3, day)</t>
  </si>
  <si>
    <t>Total Industrial WF (2015)</t>
  </si>
  <si>
    <t>Total urban domestic WF (2015)</t>
  </si>
  <si>
    <t>MVMA Agricultural urban WF (2015)</t>
  </si>
  <si>
    <t>MVMA Industrial WF (2015)</t>
  </si>
  <si>
    <t>MVMA urban domestic WF (2015)</t>
  </si>
  <si>
    <t>Total Agricultural urban WF_p+$ (2050)</t>
  </si>
  <si>
    <t>Total Industrial WF_p+$ (2050)</t>
  </si>
  <si>
    <t>Total urban domestic WF_p+$ (2050)</t>
  </si>
  <si>
    <t>Total MVAM average WF, 2050 (m3, day)</t>
  </si>
  <si>
    <t>DMC</t>
  </si>
  <si>
    <t>National DMC estimations 2015 and 2050</t>
  </si>
  <si>
    <t xml:space="preserve">Urban spending (% of the total): </t>
  </si>
  <si>
    <t>Rural spending (% of the total):</t>
  </si>
  <si>
    <t>Factor U (%):</t>
  </si>
  <si>
    <t>Factor R (%):</t>
  </si>
  <si>
    <t>Original data from the National Survey on Household Income and Expenditures 2016 (https://www.inegi.org.mx/programas/enigh/nc/2016/)</t>
  </si>
  <si>
    <t>Citation:</t>
  </si>
  <si>
    <t xml:space="preserve">Delgado Ramos, G.C. 2021. Mexico's and MVMA’s Metabolic Estimation Data. Supplementary material of the paper: Delgado Ramos, G.C. Climate-Environmental Governance in the Mexico Valley Metropolitan Area. World. 2(1): 32-48. Online: https://www.mdpi.com/2673-4060/2/1/3/s1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</si>
</sst>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 #,##0.00_-;_-* &quot;-&quot;??_-;_-@_-"/>
    <numFmt numFmtId="165" formatCode="0.00000"/>
    <numFmt numFmtId="166" formatCode="_-* #,##0_-;\-* #,##0_-;_-* &quot;-&quot;??_-;_-@_-"/>
    <numFmt numFmtId="167" formatCode="0.0"/>
    <numFmt numFmtId="168" formatCode="_-* #,##0.0_-;\-* #,##0.0_-;_-* &quot;-&quot;??_-;_-@_-"/>
    <numFmt numFmtId="169" formatCode="_-* #,##0.000_-;\-* #,##0.000_-;_-* &quot;-&quot;??_-;_-@_-"/>
    <numFmt numFmtId="170" formatCode="_-* #,##0.0_-;\-* #,##0.0_-;_-* &quot;-&quot;?_-;_-@_-"/>
    <numFmt numFmtId="171" formatCode="_-* #,##0.0_-;\-* #,##0.0_-;_-* &quot;-&quot;????_-;_-@_-"/>
    <numFmt numFmtId="172" formatCode="#\ ###\ ###\ ###\ ###\ ##0"/>
    <numFmt numFmtId="173" formatCode="###\ ###\ ##0"/>
    <numFmt numFmtId="174" formatCode="_-* #,##0.000000000_-;\-* #,##0.000000000_-;_-* &quot;-&quot;??_-;_-@_-"/>
    <numFmt numFmtId="175" formatCode="_-* #,##0.00000000_-;\-* #,##0.00000000_-;_-* &quot;-&quot;??_-;_-@_-"/>
    <numFmt numFmtId="176" formatCode="_-* #,##0.000000000000000_-;\-* #,##0.000000000000000_-;_-* &quot;-&quot;??_-;_-@_-"/>
    <numFmt numFmtId="177" formatCode="_-* #,##0.0000_-;\-* #,##0.0000_-;_-* &quot;-&quot;??_-;_-@_-"/>
    <numFmt numFmtId="178" formatCode="_-* #,##0.00000_-;\-* #,##0.00000_-;_-* &quot;-&quot;??_-;_-@_-"/>
    <numFmt numFmtId="179" formatCode="_-* #,##0.000000_-;\-* #,##0.000000_-;_-* &quot;-&quot;??_-;_-@_-"/>
  </numFmts>
  <fonts count="30">
    <font>
      <sz val="12"/>
      <color theme="1"/>
      <name val="Calibri"/>
      <family val="2"/>
      <scheme val="minor"/>
    </font>
    <font>
      <sz val="12"/>
      <color theme="1"/>
      <name val="Calibri"/>
      <family val="2"/>
      <scheme val="minor"/>
    </font>
    <font>
      <sz val="12"/>
      <color rgb="FFFF0000"/>
      <name val="Calibri"/>
      <family val="2"/>
      <scheme val="minor"/>
    </font>
    <font>
      <u/>
      <sz val="12"/>
      <color theme="10"/>
      <name val="Calibri"/>
      <family val="2"/>
      <scheme val="minor"/>
    </font>
    <font>
      <sz val="10"/>
      <color theme="1"/>
      <name val="Calibri"/>
      <family val="2"/>
      <scheme val="minor"/>
    </font>
    <font>
      <sz val="12"/>
      <color theme="1"/>
      <name val="Times New Roman"/>
      <family val="1"/>
    </font>
    <font>
      <sz val="12"/>
      <name val="Times New Roman"/>
      <family val="1"/>
    </font>
    <font>
      <sz val="12"/>
      <color rgb="FF000000"/>
      <name val="Times New Roman"/>
      <family val="1"/>
    </font>
    <font>
      <sz val="12"/>
      <name val="Calibri (Body)"/>
    </font>
    <font>
      <sz val="12"/>
      <color rgb="FF000000"/>
      <name val="Calibri"/>
      <family val="2"/>
      <scheme val="minor"/>
    </font>
    <font>
      <sz val="11"/>
      <color rgb="FF000000"/>
      <name val="Times New Roman"/>
      <family val="1"/>
    </font>
    <font>
      <b/>
      <sz val="11"/>
      <color rgb="FF000000"/>
      <name val="Times New Roman"/>
      <family val="1"/>
    </font>
    <font>
      <b/>
      <sz val="12"/>
      <color rgb="FF000000"/>
      <name val="Times New Roman"/>
      <family val="1"/>
    </font>
    <font>
      <sz val="8"/>
      <color rgb="FF000000"/>
      <name val="Calibri"/>
      <family val="2"/>
      <scheme val="minor"/>
    </font>
    <font>
      <b/>
      <sz val="10"/>
      <name val="Arial"/>
      <family val="2"/>
    </font>
    <font>
      <sz val="9"/>
      <color rgb="FF000000"/>
      <name val="Arial"/>
      <family val="2"/>
    </font>
    <font>
      <sz val="12"/>
      <color rgb="FFFF0000"/>
      <name val="Times New Roman"/>
      <family val="1"/>
    </font>
    <font>
      <i/>
      <sz val="12"/>
      <color theme="1"/>
      <name val="Calibri"/>
      <family val="2"/>
      <scheme val="minor"/>
    </font>
    <font>
      <sz val="10"/>
      <color rgb="FF000080"/>
      <name val="Arial"/>
      <family val="2"/>
    </font>
    <font>
      <sz val="9"/>
      <name val="Arial"/>
      <family val="2"/>
    </font>
    <font>
      <sz val="10"/>
      <name val="Arial"/>
      <family val="2"/>
    </font>
    <font>
      <sz val="8"/>
      <name val="Arial"/>
      <family val="2"/>
    </font>
    <font>
      <vertAlign val="superscript"/>
      <sz val="9"/>
      <name val="Arial"/>
      <family val="2"/>
    </font>
    <font>
      <b/>
      <sz val="8"/>
      <name val="Arial"/>
      <family val="2"/>
    </font>
    <font>
      <sz val="7.5"/>
      <name val="Arial"/>
      <family val="2"/>
    </font>
    <font>
      <sz val="11"/>
      <color theme="1"/>
      <name val="Calibri"/>
      <family val="2"/>
      <scheme val="minor"/>
    </font>
    <font>
      <sz val="8"/>
      <color theme="1"/>
      <name val="Arial"/>
      <family val="2"/>
    </font>
    <font>
      <b/>
      <sz val="8"/>
      <color theme="1"/>
      <name val="Arial"/>
      <family val="2"/>
    </font>
    <font>
      <b/>
      <vertAlign val="superscript"/>
      <sz val="9"/>
      <name val="Arial"/>
      <family val="2"/>
    </font>
    <font>
      <sz val="12"/>
      <color rgb="FF202124"/>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2D5E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C6268"/>
        <bgColor indexed="64"/>
      </patternFill>
    </fill>
    <fill>
      <patternFill patternType="solid">
        <fgColor rgb="FFFFA000"/>
        <bgColor indexed="64"/>
      </patternFill>
    </fill>
    <fill>
      <patternFill patternType="solid">
        <fgColor theme="7"/>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bgColor indexed="64"/>
      </patternFill>
    </fill>
    <fill>
      <patternFill patternType="solid">
        <fgColor rgb="FFF2F2F2"/>
        <bgColor rgb="FF000000"/>
      </patternFill>
    </fill>
    <fill>
      <patternFill patternType="solid">
        <fgColor rgb="FFFFF2CC"/>
        <bgColor rgb="FF000000"/>
      </patternFill>
    </fill>
    <fill>
      <patternFill patternType="solid">
        <fgColor rgb="FFD9D9D9"/>
        <bgColor rgb="FF000000"/>
      </patternFill>
    </fill>
    <fill>
      <patternFill patternType="solid">
        <fgColor rgb="FFF4B084"/>
        <bgColor rgb="FF000000"/>
      </patternFill>
    </fill>
    <fill>
      <patternFill patternType="solid">
        <fgColor rgb="FFF8CBAD"/>
        <bgColor rgb="FF000000"/>
      </patternFill>
    </fill>
    <fill>
      <patternFill patternType="solid">
        <fgColor rgb="FFFCE4D6"/>
        <bgColor rgb="FF000000"/>
      </patternFill>
    </fill>
    <fill>
      <patternFill patternType="solid">
        <fgColor rgb="FFFFC000"/>
        <bgColor rgb="FF000000"/>
      </patternFill>
    </fill>
    <fill>
      <patternFill patternType="solid">
        <fgColor rgb="FFFF8AD8"/>
        <bgColor indexed="64"/>
      </patternFill>
    </fill>
    <fill>
      <patternFill patternType="solid">
        <fgColor rgb="FFFF7E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EA00"/>
        <bgColor indexed="64"/>
      </patternFill>
    </fill>
    <fill>
      <patternFill patternType="solid">
        <fgColor rgb="FFFF5400"/>
        <bgColor indexed="64"/>
      </patternFill>
    </fill>
    <fill>
      <patternFill patternType="solid">
        <fgColor theme="5" tint="0.59999389629810485"/>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
      <left/>
      <right style="thin">
        <color rgb="FF000000"/>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20" fillId="0" borderId="0"/>
    <xf numFmtId="0" fontId="25" fillId="0" borderId="0"/>
  </cellStyleXfs>
  <cellXfs count="457">
    <xf numFmtId="0" fontId="0" fillId="0" borderId="0" xfId="0"/>
    <xf numFmtId="0" fontId="0" fillId="0" borderId="1" xfId="0" applyBorder="1"/>
    <xf numFmtId="164" fontId="0" fillId="0" borderId="0" xfId="0" applyNumberFormat="1"/>
    <xf numFmtId="164" fontId="0" fillId="0" borderId="0" xfId="1" applyFont="1" applyFill="1" applyBorder="1"/>
    <xf numFmtId="3" fontId="0" fillId="0" borderId="0" xfId="0" applyNumberFormat="1"/>
    <xf numFmtId="164" fontId="2" fillId="0" borderId="0" xfId="1" applyFont="1" applyFill="1" applyBorder="1"/>
    <xf numFmtId="0" fontId="5" fillId="3" borderId="5"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0" borderId="1" xfId="0" applyFont="1" applyBorder="1"/>
    <xf numFmtId="164" fontId="5" fillId="4" borderId="1" xfId="1" applyFont="1" applyFill="1" applyBorder="1"/>
    <xf numFmtId="2" fontId="5" fillId="4" borderId="1" xfId="1" applyNumberFormat="1" applyFont="1" applyFill="1" applyBorder="1"/>
    <xf numFmtId="164" fontId="5" fillId="5" borderId="1" xfId="1" applyFont="1" applyFill="1" applyBorder="1"/>
    <xf numFmtId="164" fontId="5" fillId="6" borderId="1" xfId="1" applyFont="1" applyFill="1" applyBorder="1"/>
    <xf numFmtId="164" fontId="6" fillId="6" borderId="1" xfId="1" applyFont="1" applyFill="1" applyBorder="1"/>
    <xf numFmtId="164" fontId="5" fillId="2" borderId="1" xfId="1" applyFont="1" applyFill="1" applyBorder="1"/>
    <xf numFmtId="164" fontId="5" fillId="8" borderId="1" xfId="1" applyFont="1" applyFill="1" applyBorder="1"/>
    <xf numFmtId="164" fontId="5" fillId="9" borderId="1" xfId="1" applyFont="1" applyFill="1" applyBorder="1"/>
    <xf numFmtId="164" fontId="5" fillId="5" borderId="10" xfId="1" applyFont="1" applyFill="1" applyBorder="1"/>
    <xf numFmtId="164" fontId="5" fillId="10" borderId="1" xfId="1" applyFont="1" applyFill="1" applyBorder="1"/>
    <xf numFmtId="164" fontId="5" fillId="11" borderId="1" xfId="1" applyFont="1" applyFill="1" applyBorder="1"/>
    <xf numFmtId="164" fontId="5" fillId="9" borderId="1" xfId="1" applyFont="1" applyFill="1" applyBorder="1" applyAlignment="1">
      <alignment horizontal="right"/>
    </xf>
    <xf numFmtId="164" fontId="7" fillId="7" borderId="1" xfId="1" applyFont="1" applyFill="1" applyBorder="1" applyAlignment="1">
      <alignment horizontal="center" vertical="center"/>
    </xf>
    <xf numFmtId="164" fontId="5" fillId="6" borderId="1" xfId="1"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 xfId="1" applyNumberFormat="1" applyFont="1" applyFill="1" applyBorder="1" applyAlignment="1">
      <alignment horizontal="center" vertical="center"/>
    </xf>
    <xf numFmtId="164" fontId="5" fillId="5" borderId="1" xfId="1" applyFont="1" applyFill="1" applyBorder="1" applyAlignment="1">
      <alignment horizontal="center" vertical="center"/>
    </xf>
    <xf numFmtId="0" fontId="0" fillId="12" borderId="0" xfId="0" applyFill="1"/>
    <xf numFmtId="1" fontId="0" fillId="0" borderId="1" xfId="0" applyNumberFormat="1" applyBorder="1"/>
    <xf numFmtId="164" fontId="0" fillId="0" borderId="1" xfId="1" applyFont="1" applyBorder="1"/>
    <xf numFmtId="164" fontId="0" fillId="0" borderId="1" xfId="0" applyNumberFormat="1" applyBorder="1"/>
    <xf numFmtId="0" fontId="0" fillId="13" borderId="0" xfId="0" applyFill="1"/>
    <xf numFmtId="164" fontId="5" fillId="14" borderId="1" xfId="1" applyFont="1" applyFill="1" applyBorder="1"/>
    <xf numFmtId="164" fontId="0" fillId="0" borderId="0" xfId="0" applyNumberFormat="1" applyFill="1" applyBorder="1"/>
    <xf numFmtId="0" fontId="0" fillId="0" borderId="0" xfId="0" applyFill="1" applyBorder="1"/>
    <xf numFmtId="164" fontId="4" fillId="0" borderId="0" xfId="0" applyNumberFormat="1" applyFont="1" applyFill="1" applyBorder="1"/>
    <xf numFmtId="164" fontId="0" fillId="0" borderId="1" xfId="0" applyNumberFormat="1" applyFill="1" applyBorder="1"/>
    <xf numFmtId="164" fontId="5" fillId="10" borderId="1"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 fontId="0" fillId="0" borderId="1" xfId="0" applyNumberForma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0" fillId="0" borderId="0" xfId="0" applyFill="1" applyBorder="1" applyAlignment="1">
      <alignment wrapText="1"/>
    </xf>
    <xf numFmtId="0" fontId="0" fillId="0" borderId="0" xfId="0" applyFill="1" applyAlignment="1">
      <alignment vertical="center" wrapText="1"/>
    </xf>
    <xf numFmtId="0" fontId="3" fillId="0" borderId="0" xfId="2" applyBorder="1" applyAlignment="1">
      <alignment horizontal="center"/>
    </xf>
    <xf numFmtId="0" fontId="3" fillId="0" borderId="1" xfId="2" applyBorder="1" applyAlignment="1">
      <alignment horizontal="center" vertical="center"/>
    </xf>
    <xf numFmtId="0" fontId="8" fillId="0" borderId="1" xfId="2" applyFont="1" applyBorder="1" applyAlignment="1">
      <alignment horizontal="center"/>
    </xf>
    <xf numFmtId="0" fontId="3" fillId="0" borderId="1" xfId="2" applyBorder="1" applyAlignment="1">
      <alignment horizontal="center"/>
    </xf>
    <xf numFmtId="164" fontId="0" fillId="0" borderId="1" xfId="1" applyFont="1" applyFill="1" applyBorder="1" applyAlignment="1">
      <alignment horizontal="center"/>
    </xf>
    <xf numFmtId="0" fontId="9" fillId="0" borderId="0" xfId="0" applyFont="1"/>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23" xfId="0" applyFont="1" applyBorder="1"/>
    <xf numFmtId="164" fontId="9" fillId="0" borderId="4" xfId="0" applyNumberFormat="1" applyFont="1" applyBorder="1"/>
    <xf numFmtId="164" fontId="9" fillId="0" borderId="24" xfId="0" applyNumberFormat="1" applyFont="1" applyBorder="1"/>
    <xf numFmtId="164" fontId="9" fillId="0" borderId="3" xfId="0" applyNumberFormat="1" applyFont="1" applyBorder="1"/>
    <xf numFmtId="164" fontId="9" fillId="0" borderId="16" xfId="0" applyNumberFormat="1" applyFont="1" applyBorder="1"/>
    <xf numFmtId="0" fontId="9" fillId="0" borderId="18" xfId="0" applyFont="1" applyBorder="1"/>
    <xf numFmtId="0" fontId="9" fillId="0" borderId="25" xfId="0" applyFont="1" applyBorder="1" applyAlignment="1">
      <alignment wrapText="1"/>
    </xf>
    <xf numFmtId="0" fontId="11" fillId="16" borderId="12" xfId="0" applyFont="1" applyFill="1" applyBorder="1" applyAlignment="1">
      <alignment horizontal="center" vertical="center"/>
    </xf>
    <xf numFmtId="0" fontId="11" fillId="16" borderId="26" xfId="0" applyFont="1" applyFill="1" applyBorder="1" applyAlignment="1">
      <alignment horizontal="center" vertical="center"/>
    </xf>
    <xf numFmtId="0" fontId="11" fillId="0" borderId="13" xfId="0" applyFont="1" applyBorder="1" applyAlignment="1">
      <alignment horizontal="center" vertical="center"/>
    </xf>
    <xf numFmtId="2" fontId="12" fillId="0" borderId="27" xfId="0" applyNumberFormat="1" applyFont="1" applyBorder="1" applyAlignment="1">
      <alignment horizontal="center" vertical="center"/>
    </xf>
    <xf numFmtId="2" fontId="12" fillId="0" borderId="12" xfId="0" applyNumberFormat="1" applyFont="1" applyBorder="1" applyAlignment="1">
      <alignment horizontal="center" vertical="center"/>
    </xf>
    <xf numFmtId="2" fontId="11" fillId="0" borderId="26" xfId="0" applyNumberFormat="1" applyFont="1" applyBorder="1" applyAlignment="1">
      <alignment horizontal="center" vertical="center"/>
    </xf>
    <xf numFmtId="2" fontId="12" fillId="0" borderId="21" xfId="0" applyNumberFormat="1" applyFont="1" applyBorder="1" applyAlignment="1">
      <alignment horizontal="center" vertical="center"/>
    </xf>
    <xf numFmtId="2" fontId="12" fillId="0" borderId="22" xfId="0" applyNumberFormat="1" applyFont="1" applyBorder="1" applyAlignment="1">
      <alignment horizontal="center" vertical="center"/>
    </xf>
    <xf numFmtId="0" fontId="9" fillId="0" borderId="19" xfId="0" applyFont="1" applyBorder="1"/>
    <xf numFmtId="0" fontId="9" fillId="0" borderId="28" xfId="0" applyFont="1" applyBorder="1" applyAlignment="1">
      <alignment wrapText="1"/>
    </xf>
    <xf numFmtId="164" fontId="9" fillId="0" borderId="29" xfId="0" applyNumberFormat="1" applyFont="1" applyBorder="1"/>
    <xf numFmtId="164" fontId="9" fillId="0" borderId="30" xfId="0" applyNumberFormat="1" applyFont="1" applyBorder="1"/>
    <xf numFmtId="164" fontId="9" fillId="0" borderId="31" xfId="0" applyNumberFormat="1" applyFont="1" applyBorder="1"/>
    <xf numFmtId="164" fontId="9" fillId="0" borderId="32" xfId="0" applyNumberFormat="1" applyFont="1" applyBorder="1"/>
    <xf numFmtId="164" fontId="9" fillId="17" borderId="33" xfId="0" applyNumberFormat="1" applyFont="1" applyFill="1" applyBorder="1"/>
    <xf numFmtId="164" fontId="9" fillId="17" borderId="34" xfId="0" applyNumberFormat="1" applyFont="1" applyFill="1" applyBorder="1"/>
    <xf numFmtId="164" fontId="9" fillId="17" borderId="35" xfId="0" applyNumberFormat="1" applyFont="1" applyFill="1" applyBorder="1"/>
    <xf numFmtId="164" fontId="9" fillId="0" borderId="0" xfId="0" applyNumberFormat="1" applyFont="1"/>
    <xf numFmtId="0" fontId="9" fillId="0" borderId="12" xfId="0" applyFont="1" applyBorder="1" applyAlignment="1">
      <alignment wrapText="1"/>
    </xf>
    <xf numFmtId="0" fontId="9" fillId="0" borderId="10" xfId="0" applyFont="1" applyBorder="1" applyAlignment="1">
      <alignment wrapText="1"/>
    </xf>
    <xf numFmtId="164" fontId="9" fillId="0" borderId="12" xfId="0" applyNumberFormat="1" applyFont="1" applyBorder="1"/>
    <xf numFmtId="164" fontId="9" fillId="18" borderId="12" xfId="0" applyNumberFormat="1" applyFont="1" applyFill="1" applyBorder="1"/>
    <xf numFmtId="168" fontId="9" fillId="0" borderId="12" xfId="0" applyNumberFormat="1" applyFont="1" applyBorder="1"/>
    <xf numFmtId="168" fontId="9" fillId="18" borderId="12" xfId="0" applyNumberFormat="1" applyFont="1" applyFill="1" applyBorder="1"/>
    <xf numFmtId="0" fontId="9" fillId="18" borderId="38" xfId="0" applyFont="1" applyFill="1" applyBorder="1" applyAlignment="1">
      <alignment horizontal="center" wrapText="1"/>
    </xf>
    <xf numFmtId="0" fontId="9" fillId="18" borderId="39" xfId="0" applyFont="1" applyFill="1" applyBorder="1" applyAlignment="1">
      <alignment horizontal="center" wrapText="1"/>
    </xf>
    <xf numFmtId="0" fontId="9" fillId="18" borderId="40" xfId="0" applyFont="1" applyFill="1" applyBorder="1" applyAlignment="1">
      <alignment horizontal="center" wrapText="1"/>
    </xf>
    <xf numFmtId="0" fontId="10" fillId="20" borderId="13" xfId="0" applyFont="1" applyFill="1" applyBorder="1" applyAlignment="1">
      <alignment horizontal="center" vertical="center" wrapText="1"/>
    </xf>
    <xf numFmtId="166" fontId="10" fillId="21" borderId="41" xfId="0" applyNumberFormat="1" applyFont="1" applyFill="1" applyBorder="1"/>
    <xf numFmtId="166" fontId="10" fillId="21" borderId="42" xfId="0" applyNumberFormat="1" applyFont="1" applyFill="1" applyBorder="1"/>
    <xf numFmtId="166" fontId="10" fillId="17" borderId="42" xfId="0" applyNumberFormat="1" applyFont="1" applyFill="1" applyBorder="1" applyAlignment="1">
      <alignment vertical="center"/>
    </xf>
    <xf numFmtId="166" fontId="10" fillId="17" borderId="14" xfId="0" applyNumberFormat="1" applyFont="1" applyFill="1" applyBorder="1" applyAlignment="1">
      <alignment vertical="center"/>
    </xf>
    <xf numFmtId="166" fontId="10" fillId="17" borderId="15" xfId="0" applyNumberFormat="1" applyFont="1" applyFill="1" applyBorder="1" applyAlignment="1">
      <alignment vertical="center"/>
    </xf>
    <xf numFmtId="166" fontId="10" fillId="21" borderId="27" xfId="0" applyNumberFormat="1" applyFont="1" applyFill="1" applyBorder="1"/>
    <xf numFmtId="166" fontId="10" fillId="21" borderId="12" xfId="0" applyNumberFormat="1" applyFont="1" applyFill="1" applyBorder="1"/>
    <xf numFmtId="166" fontId="10" fillId="17" borderId="12" xfId="0" applyNumberFormat="1" applyFont="1" applyFill="1" applyBorder="1" applyAlignment="1">
      <alignment vertical="center"/>
    </xf>
    <xf numFmtId="166" fontId="10" fillId="17" borderId="13" xfId="0" applyNumberFormat="1" applyFont="1" applyFill="1" applyBorder="1" applyAlignment="1">
      <alignment vertical="center"/>
    </xf>
    <xf numFmtId="166" fontId="10" fillId="17" borderId="18" xfId="0" applyNumberFormat="1" applyFont="1" applyFill="1" applyBorder="1" applyAlignment="1">
      <alignment vertical="center"/>
    </xf>
    <xf numFmtId="166" fontId="10" fillId="21" borderId="27" xfId="0" applyNumberFormat="1" applyFont="1" applyFill="1" applyBorder="1" applyAlignment="1">
      <alignment horizontal="right" vertical="center"/>
    </xf>
    <xf numFmtId="166" fontId="10" fillId="21" borderId="12" xfId="0" applyNumberFormat="1" applyFont="1" applyFill="1" applyBorder="1" applyAlignment="1">
      <alignment horizontal="right" vertical="center"/>
    </xf>
    <xf numFmtId="166" fontId="10" fillId="21" borderId="32" xfId="0" applyNumberFormat="1" applyFont="1" applyFill="1" applyBorder="1"/>
    <xf numFmtId="166" fontId="10" fillId="21" borderId="29" xfId="0" applyNumberFormat="1" applyFont="1" applyFill="1" applyBorder="1"/>
    <xf numFmtId="166" fontId="10" fillId="17" borderId="29" xfId="0" applyNumberFormat="1" applyFont="1" applyFill="1" applyBorder="1" applyAlignment="1">
      <alignment vertical="center"/>
    </xf>
    <xf numFmtId="166" fontId="10" fillId="17" borderId="31" xfId="0" applyNumberFormat="1" applyFont="1" applyFill="1" applyBorder="1" applyAlignment="1">
      <alignment vertical="center"/>
    </xf>
    <xf numFmtId="166" fontId="10" fillId="17" borderId="43" xfId="0" applyNumberFormat="1" applyFont="1" applyFill="1" applyBorder="1" applyAlignment="1">
      <alignment vertical="center"/>
    </xf>
    <xf numFmtId="166" fontId="9" fillId="18" borderId="29" xfId="0" applyNumberFormat="1" applyFont="1" applyFill="1" applyBorder="1"/>
    <xf numFmtId="166" fontId="10" fillId="18" borderId="29" xfId="0" applyNumberFormat="1" applyFont="1" applyFill="1" applyBorder="1" applyAlignment="1">
      <alignment vertical="center"/>
    </xf>
    <xf numFmtId="166" fontId="10" fillId="18" borderId="31" xfId="0" applyNumberFormat="1" applyFont="1" applyFill="1" applyBorder="1" applyAlignment="1">
      <alignment vertical="center"/>
    </xf>
    <xf numFmtId="166" fontId="10" fillId="18" borderId="43" xfId="0" applyNumberFormat="1" applyFont="1" applyFill="1" applyBorder="1" applyAlignment="1">
      <alignment vertical="center"/>
    </xf>
    <xf numFmtId="164" fontId="16" fillId="14" borderId="1" xfId="1" applyFont="1" applyFill="1" applyBorder="1"/>
    <xf numFmtId="0" fontId="0" fillId="0" borderId="51" xfId="0" applyBorder="1"/>
    <xf numFmtId="0" fontId="9" fillId="0" borderId="52" xfId="0" applyFont="1" applyBorder="1"/>
    <xf numFmtId="0" fontId="9" fillId="0" borderId="1" xfId="0" applyFont="1" applyBorder="1"/>
    <xf numFmtId="0" fontId="9" fillId="0" borderId="0" xfId="0" applyFont="1" applyBorder="1"/>
    <xf numFmtId="0" fontId="0" fillId="0" borderId="0" xfId="0" applyAlignment="1">
      <alignment horizontal="left" vertical="center"/>
    </xf>
    <xf numFmtId="0" fontId="1" fillId="0" borderId="1" xfId="2" applyFont="1" applyBorder="1" applyAlignment="1">
      <alignment horizontal="center"/>
    </xf>
    <xf numFmtId="3" fontId="0" fillId="0" borderId="1" xfId="0" applyNumberFormat="1" applyBorder="1"/>
    <xf numFmtId="164" fontId="0" fillId="0" borderId="1" xfId="1" applyFont="1" applyBorder="1" applyAlignment="1">
      <alignment horizontal="center" vertical="center"/>
    </xf>
    <xf numFmtId="166" fontId="0" fillId="0" borderId="1" xfId="1" applyNumberFormat="1" applyFont="1" applyBorder="1"/>
    <xf numFmtId="169" fontId="0" fillId="0" borderId="1" xfId="1" applyNumberFormat="1" applyFont="1" applyBorder="1" applyAlignment="1">
      <alignment horizontal="center" vertical="center"/>
    </xf>
    <xf numFmtId="166" fontId="0" fillId="0" borderId="1" xfId="0" applyNumberFormat="1" applyBorder="1"/>
    <xf numFmtId="166" fontId="0" fillId="0" borderId="0" xfId="0" applyNumberFormat="1"/>
    <xf numFmtId="0" fontId="9" fillId="0" borderId="0" xfId="0" applyFont="1" applyFill="1"/>
    <xf numFmtId="0" fontId="9" fillId="0" borderId="0" xfId="0" applyFont="1" applyFill="1" applyBorder="1"/>
    <xf numFmtId="0" fontId="13" fillId="0" borderId="0" xfId="0" applyFont="1" applyFill="1" applyBorder="1" applyAlignment="1">
      <alignment wrapText="1"/>
    </xf>
    <xf numFmtId="0" fontId="13" fillId="0" borderId="0" xfId="0" applyFont="1" applyFill="1" applyBorder="1" applyAlignment="1">
      <alignment horizontal="center" wrapText="1"/>
    </xf>
    <xf numFmtId="166" fontId="13" fillId="0" borderId="0" xfId="1" applyNumberFormat="1" applyFont="1" applyFill="1" applyBorder="1"/>
    <xf numFmtId="1" fontId="9" fillId="0" borderId="1" xfId="0" applyNumberFormat="1" applyFont="1" applyBorder="1"/>
    <xf numFmtId="164" fontId="9" fillId="0" borderId="1" xfId="0" applyNumberFormat="1" applyFont="1" applyBorder="1"/>
    <xf numFmtId="164" fontId="9" fillId="21" borderId="1" xfId="0" applyNumberFormat="1" applyFont="1" applyFill="1" applyBorder="1"/>
    <xf numFmtId="166" fontId="0" fillId="0" borderId="16" xfId="1" applyNumberFormat="1" applyFont="1" applyBorder="1"/>
    <xf numFmtId="166" fontId="9" fillId="0" borderId="1" xfId="0" applyNumberFormat="1" applyFont="1" applyBorder="1"/>
    <xf numFmtId="166" fontId="0" fillId="0" borderId="16" xfId="1" applyNumberFormat="1" applyFont="1" applyFill="1" applyBorder="1"/>
    <xf numFmtId="166" fontId="0" fillId="0" borderId="0" xfId="1" applyNumberFormat="1" applyFont="1" applyFill="1" applyBorder="1"/>
    <xf numFmtId="166" fontId="9" fillId="0" borderId="1" xfId="1" applyNumberFormat="1" applyFont="1" applyBorder="1"/>
    <xf numFmtId="164" fontId="5" fillId="0" borderId="1" xfId="0" applyNumberFormat="1" applyFont="1" applyBorder="1"/>
    <xf numFmtId="166" fontId="5" fillId="0" borderId="1" xfId="1" applyNumberFormat="1" applyFont="1" applyFill="1" applyBorder="1" applyAlignment="1">
      <alignment vertical="center"/>
    </xf>
    <xf numFmtId="164" fontId="5" fillId="0" borderId="1" xfId="1" applyFont="1" applyFill="1" applyBorder="1"/>
    <xf numFmtId="171" fontId="9" fillId="0" borderId="0" xfId="0" applyNumberFormat="1" applyFont="1"/>
    <xf numFmtId="0" fontId="9" fillId="9" borderId="0" xfId="0" applyFont="1" applyFill="1" applyBorder="1"/>
    <xf numFmtId="0" fontId="0" fillId="0" borderId="16" xfId="0" applyBorder="1"/>
    <xf numFmtId="166" fontId="9" fillId="0" borderId="1" xfId="1" applyNumberFormat="1" applyFont="1" applyFill="1" applyBorder="1"/>
    <xf numFmtId="166" fontId="9" fillId="0" borderId="1" xfId="0" applyNumberFormat="1" applyFont="1" applyFill="1" applyBorder="1" applyAlignment="1">
      <alignment wrapText="1"/>
    </xf>
    <xf numFmtId="0" fontId="9" fillId="2" borderId="1" xfId="0" applyFont="1" applyFill="1" applyBorder="1" applyAlignment="1">
      <alignment horizontal="center" vertical="center" wrapText="1"/>
    </xf>
    <xf numFmtId="166" fontId="9" fillId="0" borderId="1" xfId="1" applyNumberFormat="1" applyFont="1" applyFill="1" applyBorder="1" applyAlignment="1">
      <alignment horizontal="center" wrapText="1"/>
    </xf>
    <xf numFmtId="166" fontId="9" fillId="0" borderId="1" xfId="0" applyNumberFormat="1" applyFont="1" applyFill="1" applyBorder="1"/>
    <xf numFmtId="0" fontId="21" fillId="0" borderId="8" xfId="3" applyFont="1" applyBorder="1" applyAlignment="1">
      <alignment horizontal="right"/>
    </xf>
    <xf numFmtId="0" fontId="21" fillId="0" borderId="3" xfId="3" applyFont="1" applyBorder="1" applyAlignment="1">
      <alignment horizontal="centerContinuous"/>
    </xf>
    <xf numFmtId="0" fontId="21" fillId="0" borderId="13" xfId="3" applyFont="1" applyBorder="1" applyAlignment="1">
      <alignment horizontal="centerContinuous" vertical="center"/>
    </xf>
    <xf numFmtId="0" fontId="21" fillId="0" borderId="13" xfId="3" applyFont="1" applyBorder="1" applyAlignment="1">
      <alignment horizontal="right"/>
    </xf>
    <xf numFmtId="0" fontId="0" fillId="9" borderId="0" xfId="0" applyFill="1"/>
    <xf numFmtId="0" fontId="21" fillId="0" borderId="13" xfId="3" applyFont="1" applyBorder="1" applyAlignment="1">
      <alignment vertical="center"/>
    </xf>
    <xf numFmtId="172" fontId="21" fillId="0" borderId="13" xfId="3" applyNumberFormat="1" applyFont="1" applyBorder="1"/>
    <xf numFmtId="173" fontId="21" fillId="0" borderId="13" xfId="3" applyNumberFormat="1" applyFont="1" applyBorder="1"/>
    <xf numFmtId="0" fontId="21" fillId="0" borderId="8" xfId="3" applyFont="1" applyBorder="1" applyAlignment="1">
      <alignment vertical="center"/>
    </xf>
    <xf numFmtId="164" fontId="0" fillId="9" borderId="1" xfId="0" applyNumberFormat="1" applyFill="1" applyBorder="1" applyAlignment="1">
      <alignment horizontal="center" vertical="center" wrapText="1"/>
    </xf>
    <xf numFmtId="174" fontId="0" fillId="0" borderId="1" xfId="0" applyNumberFormat="1" applyBorder="1"/>
    <xf numFmtId="0" fontId="0" fillId="0" borderId="0" xfId="0" applyFill="1"/>
    <xf numFmtId="175" fontId="0" fillId="0" borderId="0" xfId="1" applyNumberFormat="1" applyFont="1" applyFill="1"/>
    <xf numFmtId="176" fontId="0" fillId="0" borderId="0" xfId="0" applyNumberFormat="1" applyFill="1"/>
    <xf numFmtId="0" fontId="18" fillId="0" borderId="61" xfId="0" applyFont="1" applyBorder="1" applyAlignment="1">
      <alignment vertical="center"/>
    </xf>
    <xf numFmtId="0" fontId="0" fillId="0" borderId="39" xfId="0" applyBorder="1"/>
    <xf numFmtId="0" fontId="19" fillId="0" borderId="39" xfId="0" applyFont="1" applyBorder="1"/>
    <xf numFmtId="0" fontId="0" fillId="0" borderId="62" xfId="0" applyBorder="1"/>
    <xf numFmtId="0" fontId="19" fillId="0" borderId="50" xfId="0" applyFont="1" applyBorder="1"/>
    <xf numFmtId="0" fontId="19" fillId="0" borderId="0" xfId="0" applyFont="1" applyBorder="1"/>
    <xf numFmtId="0" fontId="21" fillId="0" borderId="51" xfId="3" applyFont="1" applyBorder="1" applyAlignment="1">
      <alignment horizontal="right" vertical="top"/>
    </xf>
    <xf numFmtId="0" fontId="21" fillId="0" borderId="24" xfId="3" applyFont="1" applyBorder="1" applyAlignment="1">
      <alignment horizontal="centerContinuous"/>
    </xf>
    <xf numFmtId="0" fontId="21" fillId="0" borderId="0" xfId="3" applyFont="1" applyBorder="1" applyAlignment="1">
      <alignment horizontal="center"/>
    </xf>
    <xf numFmtId="0" fontId="21" fillId="0" borderId="26" xfId="3" applyFont="1" applyBorder="1" applyAlignment="1">
      <alignment horizontal="right"/>
    </xf>
    <xf numFmtId="0" fontId="23" fillId="0" borderId="50" xfId="3" applyFont="1" applyBorder="1" applyAlignment="1">
      <alignment horizontal="left"/>
    </xf>
    <xf numFmtId="0" fontId="23" fillId="0" borderId="0" xfId="3" applyFont="1" applyBorder="1" applyAlignment="1">
      <alignment vertical="center"/>
    </xf>
    <xf numFmtId="172" fontId="23" fillId="0" borderId="0" xfId="3" applyNumberFormat="1" applyFont="1" applyBorder="1"/>
    <xf numFmtId="173" fontId="23" fillId="0" borderId="0" xfId="3" applyNumberFormat="1" applyFont="1" applyBorder="1"/>
    <xf numFmtId="172" fontId="23" fillId="0" borderId="51" xfId="3" applyNumberFormat="1" applyFont="1" applyBorder="1"/>
    <xf numFmtId="0" fontId="21" fillId="0" borderId="50" xfId="3" applyFont="1" applyBorder="1" applyAlignment="1">
      <alignment horizontal="left" indent="1"/>
    </xf>
    <xf numFmtId="0" fontId="21" fillId="0" borderId="0" xfId="3" applyFont="1" applyBorder="1" applyAlignment="1">
      <alignment horizontal="left"/>
    </xf>
    <xf numFmtId="172" fontId="21" fillId="0" borderId="0" xfId="3" applyNumberFormat="1" applyFont="1" applyBorder="1"/>
    <xf numFmtId="173" fontId="21" fillId="0" borderId="0" xfId="3" applyNumberFormat="1" applyFont="1" applyBorder="1"/>
    <xf numFmtId="172" fontId="21" fillId="0" borderId="51" xfId="3" applyNumberFormat="1" applyFont="1" applyBorder="1"/>
    <xf numFmtId="173" fontId="21" fillId="0" borderId="51" xfId="3" applyNumberFormat="1" applyFont="1" applyBorder="1"/>
    <xf numFmtId="0" fontId="21" fillId="0" borderId="50" xfId="3" applyFont="1" applyBorder="1" applyAlignment="1">
      <alignment horizontal="left" indent="2"/>
    </xf>
    <xf numFmtId="0" fontId="24" fillId="0" borderId="0" xfId="3" applyFont="1" applyBorder="1"/>
    <xf numFmtId="0" fontId="24" fillId="0" borderId="0" xfId="3" applyFont="1" applyBorder="1" applyAlignment="1">
      <alignment vertical="center"/>
    </xf>
    <xf numFmtId="49" fontId="21" fillId="0" borderId="50" xfId="3" applyNumberFormat="1" applyFont="1" applyBorder="1" applyAlignment="1">
      <alignment horizontal="left" indent="2"/>
    </xf>
    <xf numFmtId="0" fontId="21" fillId="0" borderId="0" xfId="3" applyFont="1" applyBorder="1" applyAlignment="1">
      <alignment vertical="center"/>
    </xf>
    <xf numFmtId="0" fontId="21" fillId="28" borderId="50" xfId="3" applyFont="1" applyFill="1" applyBorder="1" applyAlignment="1">
      <alignment horizontal="left" indent="2"/>
    </xf>
    <xf numFmtId="0" fontId="21" fillId="28" borderId="0" xfId="3" applyFont="1" applyFill="1" applyBorder="1" applyAlignment="1">
      <alignment vertical="center"/>
    </xf>
    <xf numFmtId="0" fontId="21" fillId="0" borderId="63" xfId="3" applyFont="1" applyBorder="1" applyAlignment="1">
      <alignment horizontal="left" indent="1"/>
    </xf>
    <xf numFmtId="173" fontId="21" fillId="0" borderId="26" xfId="3" applyNumberFormat="1" applyFont="1" applyBorder="1"/>
    <xf numFmtId="0" fontId="26" fillId="28" borderId="50" xfId="0" applyFont="1" applyFill="1" applyBorder="1" applyAlignment="1">
      <alignment vertical="center"/>
    </xf>
    <xf numFmtId="0" fontId="26" fillId="28" borderId="0" xfId="0" applyFont="1" applyFill="1" applyBorder="1" applyAlignment="1">
      <alignment vertical="center"/>
    </xf>
    <xf numFmtId="0" fontId="26" fillId="28" borderId="0" xfId="0" applyFont="1" applyFill="1" applyBorder="1" applyAlignment="1">
      <alignment horizontal="left" vertical="center"/>
    </xf>
    <xf numFmtId="0" fontId="0" fillId="28" borderId="0" xfId="0" applyFill="1" applyBorder="1"/>
    <xf numFmtId="0" fontId="28" fillId="0" borderId="50" xfId="3" applyFont="1" applyBorder="1" applyAlignment="1">
      <alignment horizontal="right" vertical="top"/>
    </xf>
    <xf numFmtId="0" fontId="21" fillId="0" borderId="52" xfId="3" quotePrefix="1" applyFont="1" applyBorder="1" applyAlignment="1">
      <alignment horizontal="left" vertical="top"/>
    </xf>
    <xf numFmtId="0" fontId="21" fillId="0" borderId="31" xfId="3" applyFont="1" applyBorder="1" applyAlignment="1">
      <alignment vertical="top"/>
    </xf>
    <xf numFmtId="0" fontId="20" fillId="0" borderId="31" xfId="3" applyBorder="1" applyAlignment="1">
      <alignment vertical="top"/>
    </xf>
    <xf numFmtId="0" fontId="20" fillId="0" borderId="30" xfId="3" applyBorder="1" applyAlignment="1">
      <alignment vertical="top"/>
    </xf>
    <xf numFmtId="0" fontId="4" fillId="25" borderId="41" xfId="0" applyFont="1" applyFill="1" applyBorder="1" applyAlignment="1">
      <alignment horizontal="left" vertical="center" wrapText="1"/>
    </xf>
    <xf numFmtId="0" fontId="0" fillId="25" borderId="15" xfId="0" applyFill="1" applyBorder="1"/>
    <xf numFmtId="0" fontId="20" fillId="5" borderId="16" xfId="0" applyFont="1" applyFill="1" applyBorder="1" applyAlignment="1">
      <alignment horizontal="left" vertical="center" wrapText="1"/>
    </xf>
    <xf numFmtId="0" fontId="0" fillId="5" borderId="55" xfId="0" applyFill="1" applyBorder="1"/>
    <xf numFmtId="0" fontId="0" fillId="27" borderId="16" xfId="0" applyFill="1" applyBorder="1"/>
    <xf numFmtId="174" fontId="0" fillId="27" borderId="55" xfId="0" applyNumberFormat="1" applyFill="1" applyBorder="1"/>
    <xf numFmtId="0" fontId="0" fillId="6" borderId="56" xfId="0" applyFill="1" applyBorder="1"/>
    <xf numFmtId="174" fontId="0" fillId="6" borderId="58" xfId="0" applyNumberFormat="1" applyFill="1" applyBorder="1"/>
    <xf numFmtId="177" fontId="5" fillId="0" borderId="1" xfId="0" applyNumberFormat="1" applyFont="1" applyBorder="1"/>
    <xf numFmtId="0" fontId="9" fillId="0" borderId="61" xfId="0" applyFont="1" applyBorder="1"/>
    <xf numFmtId="0" fontId="9" fillId="0" borderId="39" xfId="0" applyFont="1" applyBorder="1"/>
    <xf numFmtId="0" fontId="9" fillId="0" borderId="62" xfId="0" applyFont="1" applyBorder="1"/>
    <xf numFmtId="0" fontId="9" fillId="9" borderId="50" xfId="0" applyFont="1" applyFill="1" applyBorder="1"/>
    <xf numFmtId="0" fontId="9" fillId="0" borderId="51" xfId="0" applyFont="1" applyBorder="1"/>
    <xf numFmtId="0" fontId="9" fillId="0" borderId="50" xfId="0" applyFont="1" applyBorder="1"/>
    <xf numFmtId="0" fontId="9" fillId="0" borderId="31" xfId="0" applyFont="1" applyBorder="1"/>
    <xf numFmtId="0" fontId="9" fillId="0" borderId="30" xfId="0" applyFont="1" applyBorder="1"/>
    <xf numFmtId="0" fontId="9" fillId="0" borderId="50" xfId="0" applyFont="1" applyFill="1" applyBorder="1"/>
    <xf numFmtId="171" fontId="9" fillId="0" borderId="0" xfId="0" applyNumberFormat="1" applyFont="1" applyBorder="1"/>
    <xf numFmtId="0" fontId="9" fillId="0" borderId="52" xfId="0" applyFont="1" applyFill="1" applyBorder="1"/>
    <xf numFmtId="0" fontId="9" fillId="0" borderId="31" xfId="0" applyFont="1" applyFill="1" applyBorder="1"/>
    <xf numFmtId="0" fontId="13" fillId="0" borderId="31" xfId="0" applyFont="1" applyFill="1" applyBorder="1" applyAlignment="1">
      <alignment wrapText="1"/>
    </xf>
    <xf numFmtId="0" fontId="13" fillId="0" borderId="31" xfId="0" applyFont="1" applyFill="1" applyBorder="1" applyAlignment="1">
      <alignment horizontal="center" wrapText="1"/>
    </xf>
    <xf numFmtId="171" fontId="9" fillId="0" borderId="31" xfId="0" applyNumberFormat="1" applyFont="1" applyBorder="1"/>
    <xf numFmtId="0" fontId="9" fillId="9" borderId="61" xfId="0" applyFont="1" applyFill="1" applyBorder="1"/>
    <xf numFmtId="0" fontId="9" fillId="9" borderId="39" xfId="0" applyFont="1" applyFill="1" applyBorder="1"/>
    <xf numFmtId="0" fontId="13" fillId="0" borderId="39" xfId="0" applyFont="1" applyFill="1" applyBorder="1" applyAlignment="1">
      <alignment wrapText="1"/>
    </xf>
    <xf numFmtId="0" fontId="13" fillId="0" borderId="39" xfId="0" applyFont="1" applyFill="1" applyBorder="1" applyAlignment="1">
      <alignment horizontal="center" wrapText="1"/>
    </xf>
    <xf numFmtId="0" fontId="9" fillId="0" borderId="39" xfId="0" applyFont="1" applyFill="1" applyBorder="1"/>
    <xf numFmtId="171" fontId="9" fillId="0" borderId="39" xfId="0" applyNumberFormat="1" applyFont="1" applyBorder="1"/>
    <xf numFmtId="0" fontId="9" fillId="2" borderId="16" xfId="0" applyFont="1" applyFill="1" applyBorder="1" applyAlignment="1">
      <alignment horizontal="center" vertical="center" wrapText="1"/>
    </xf>
    <xf numFmtId="0" fontId="0" fillId="0" borderId="16" xfId="0" applyFont="1" applyBorder="1"/>
    <xf numFmtId="164" fontId="13" fillId="0" borderId="61" xfId="0" applyNumberFormat="1" applyFont="1" applyFill="1" applyBorder="1"/>
    <xf numFmtId="164" fontId="13" fillId="0" borderId="39" xfId="0" applyNumberFormat="1" applyFont="1" applyFill="1" applyBorder="1"/>
    <xf numFmtId="0" fontId="9" fillId="22" borderId="0" xfId="0" applyFont="1" applyFill="1" applyBorder="1"/>
    <xf numFmtId="0" fontId="9" fillId="5" borderId="50" xfId="0" applyFont="1" applyFill="1" applyBorder="1"/>
    <xf numFmtId="0" fontId="9" fillId="5" borderId="0" xfId="0" applyFont="1" applyFill="1" applyBorder="1"/>
    <xf numFmtId="2" fontId="11" fillId="0" borderId="0" xfId="0" applyNumberFormat="1" applyFont="1" applyBorder="1" applyAlignment="1">
      <alignment horizontal="center" vertical="center"/>
    </xf>
    <xf numFmtId="0" fontId="9" fillId="0" borderId="0" xfId="0" applyFont="1" applyBorder="1" applyAlignment="1">
      <alignment horizontal="right"/>
    </xf>
    <xf numFmtId="164" fontId="9" fillId="0" borderId="0" xfId="0" applyNumberFormat="1" applyFont="1" applyBorder="1"/>
    <xf numFmtId="0" fontId="9" fillId="0" borderId="0" xfId="0" applyFont="1" applyBorder="1" applyAlignment="1">
      <alignment vertical="center"/>
    </xf>
    <xf numFmtId="0" fontId="10" fillId="0" borderId="0" xfId="0" applyFont="1" applyBorder="1" applyAlignment="1">
      <alignment horizontal="center" vertical="center" wrapText="1"/>
    </xf>
    <xf numFmtId="165" fontId="9" fillId="0" borderId="0" xfId="0" applyNumberFormat="1" applyFont="1" applyBorder="1"/>
    <xf numFmtId="0" fontId="9" fillId="17" borderId="0" xfId="0" applyFont="1" applyFill="1" applyBorder="1"/>
    <xf numFmtId="0" fontId="10" fillId="0" borderId="0" xfId="0" applyFont="1" applyBorder="1" applyAlignment="1">
      <alignment vertical="center"/>
    </xf>
    <xf numFmtId="166" fontId="10" fillId="0" borderId="0" xfId="0" applyNumberFormat="1" applyFont="1" applyBorder="1" applyAlignment="1">
      <alignment vertical="center"/>
    </xf>
    <xf numFmtId="167" fontId="9" fillId="0" borderId="0" xfId="0" applyNumberFormat="1" applyFont="1" applyBorder="1"/>
    <xf numFmtId="0" fontId="9" fillId="0" borderId="0" xfId="0" applyFont="1" applyBorder="1" applyAlignment="1">
      <alignment horizontal="center" wrapText="1"/>
    </xf>
    <xf numFmtId="169" fontId="9" fillId="0" borderId="0" xfId="0" applyNumberFormat="1" applyFont="1" applyBorder="1"/>
    <xf numFmtId="167" fontId="10" fillId="0" borderId="0" xfId="0" applyNumberFormat="1" applyFont="1" applyBorder="1" applyAlignment="1">
      <alignment horizontal="right" vertical="center"/>
    </xf>
    <xf numFmtId="166" fontId="9" fillId="0" borderId="0" xfId="0" applyNumberFormat="1" applyFont="1" applyBorder="1"/>
    <xf numFmtId="0" fontId="14" fillId="0" borderId="0" xfId="0" applyFont="1" applyFill="1"/>
    <xf numFmtId="0" fontId="14" fillId="0" borderId="0" xfId="0" applyFont="1" applyFill="1" applyAlignment="1">
      <alignment wrapText="1"/>
    </xf>
    <xf numFmtId="164" fontId="14" fillId="0" borderId="0" xfId="0" applyNumberFormat="1" applyFont="1" applyFill="1" applyAlignment="1">
      <alignment wrapText="1"/>
    </xf>
    <xf numFmtId="164" fontId="9" fillId="0" borderId="0" xfId="0" applyNumberFormat="1" applyFont="1" applyFill="1"/>
    <xf numFmtId="164" fontId="15" fillId="0" borderId="0" xfId="0" applyNumberFormat="1" applyFont="1" applyFill="1" applyAlignment="1">
      <alignment horizontal="right"/>
    </xf>
    <xf numFmtId="169" fontId="0" fillId="0" borderId="0" xfId="0" applyNumberFormat="1"/>
    <xf numFmtId="177" fontId="0" fillId="0" borderId="0" xfId="0" applyNumberFormat="1"/>
    <xf numFmtId="178" fontId="0" fillId="0" borderId="1" xfId="0" applyNumberFormat="1" applyBorder="1"/>
    <xf numFmtId="0" fontId="0" fillId="0" borderId="1" xfId="0" applyBorder="1" applyAlignment="1">
      <alignment horizontal="center" wrapText="1"/>
    </xf>
    <xf numFmtId="2" fontId="0" fillId="0" borderId="1" xfId="0" applyNumberFormat="1" applyBorder="1"/>
    <xf numFmtId="0" fontId="0" fillId="9" borderId="1" xfId="0" applyFill="1" applyBorder="1" applyAlignment="1">
      <alignment wrapText="1"/>
    </xf>
    <xf numFmtId="164" fontId="0" fillId="9" borderId="1" xfId="0" applyNumberFormat="1" applyFill="1" applyBorder="1"/>
    <xf numFmtId="2" fontId="0" fillId="9" borderId="1" xfId="0" applyNumberFormat="1" applyFill="1" applyBorder="1"/>
    <xf numFmtId="0" fontId="0" fillId="9" borderId="1" xfId="0" applyFill="1" applyBorder="1"/>
    <xf numFmtId="178" fontId="0" fillId="9" borderId="1" xfId="0" applyNumberFormat="1" applyFill="1" applyBorder="1"/>
    <xf numFmtId="2" fontId="0" fillId="9" borderId="1" xfId="0" applyNumberFormat="1" applyFill="1" applyBorder="1" applyAlignment="1">
      <alignment vertical="center"/>
    </xf>
    <xf numFmtId="164" fontId="0" fillId="0" borderId="5" xfId="0" applyNumberFormat="1" applyBorder="1"/>
    <xf numFmtId="166" fontId="0" fillId="0" borderId="2" xfId="1" applyNumberFormat="1" applyFont="1" applyBorder="1"/>
    <xf numFmtId="179" fontId="0" fillId="0" borderId="0" xfId="0" applyNumberFormat="1"/>
    <xf numFmtId="179" fontId="0" fillId="0" borderId="1" xfId="0" applyNumberFormat="1" applyBorder="1"/>
    <xf numFmtId="169" fontId="0" fillId="9" borderId="1" xfId="0" applyNumberFormat="1" applyFill="1" applyBorder="1"/>
    <xf numFmtId="0" fontId="9" fillId="9" borderId="1" xfId="0" applyFont="1" applyFill="1" applyBorder="1"/>
    <xf numFmtId="167" fontId="9" fillId="9" borderId="1" xfId="0" applyNumberFormat="1" applyFont="1" applyFill="1" applyBorder="1" applyAlignment="1">
      <alignment horizontal="right"/>
    </xf>
    <xf numFmtId="164" fontId="9" fillId="9" borderId="1" xfId="0" applyNumberFormat="1" applyFont="1" applyFill="1" applyBorder="1"/>
    <xf numFmtId="167" fontId="9" fillId="9" borderId="1" xfId="0" applyNumberFormat="1" applyFont="1" applyFill="1" applyBorder="1" applyAlignment="1">
      <alignment horizontal="right" wrapText="1"/>
    </xf>
    <xf numFmtId="170" fontId="9" fillId="9" borderId="1" xfId="0" applyNumberFormat="1" applyFont="1" applyFill="1" applyBorder="1"/>
    <xf numFmtId="0" fontId="9" fillId="9" borderId="16" xfId="0" applyFont="1" applyFill="1" applyBorder="1"/>
    <xf numFmtId="0" fontId="9" fillId="9" borderId="55" xfId="0" applyFont="1" applyFill="1" applyBorder="1"/>
    <xf numFmtId="0" fontId="9" fillId="9" borderId="16" xfId="0" applyFont="1" applyFill="1" applyBorder="1" applyAlignment="1">
      <alignment horizontal="center"/>
    </xf>
    <xf numFmtId="164" fontId="9" fillId="9" borderId="55" xfId="0" applyNumberFormat="1" applyFont="1" applyFill="1" applyBorder="1"/>
    <xf numFmtId="0" fontId="9" fillId="9" borderId="16" xfId="0" applyFont="1" applyFill="1" applyBorder="1" applyAlignment="1">
      <alignment horizontal="center" wrapText="1"/>
    </xf>
    <xf numFmtId="166" fontId="10" fillId="9" borderId="56" xfId="0" applyNumberFormat="1" applyFont="1" applyFill="1" applyBorder="1" applyAlignment="1">
      <alignment vertical="center"/>
    </xf>
    <xf numFmtId="167" fontId="9" fillId="9" borderId="57" xfId="0" applyNumberFormat="1" applyFont="1" applyFill="1" applyBorder="1" applyAlignment="1">
      <alignment horizontal="right"/>
    </xf>
    <xf numFmtId="164" fontId="9" fillId="9" borderId="57" xfId="0" applyNumberFormat="1" applyFont="1" applyFill="1" applyBorder="1"/>
    <xf numFmtId="164" fontId="9" fillId="9" borderId="58" xfId="0" applyNumberFormat="1" applyFont="1" applyFill="1" applyBorder="1"/>
    <xf numFmtId="0" fontId="9" fillId="26" borderId="27" xfId="0" applyFont="1" applyFill="1" applyBorder="1"/>
    <xf numFmtId="0" fontId="9" fillId="26" borderId="10" xfId="0" applyFont="1" applyFill="1" applyBorder="1"/>
    <xf numFmtId="0" fontId="9" fillId="26" borderId="18" xfId="0" applyFont="1" applyFill="1" applyBorder="1"/>
    <xf numFmtId="0" fontId="9" fillId="26" borderId="16" xfId="0" applyFont="1" applyFill="1" applyBorder="1" applyAlignment="1">
      <alignment wrapText="1"/>
    </xf>
    <xf numFmtId="0" fontId="9" fillId="26" borderId="1" xfId="0" applyFont="1" applyFill="1" applyBorder="1"/>
    <xf numFmtId="0" fontId="9" fillId="26" borderId="55" xfId="0" applyFont="1" applyFill="1" applyBorder="1"/>
    <xf numFmtId="0" fontId="9" fillId="26" borderId="56" xfId="0" applyFont="1" applyFill="1" applyBorder="1"/>
    <xf numFmtId="0" fontId="9" fillId="26" borderId="57" xfId="0" applyFont="1" applyFill="1" applyBorder="1"/>
    <xf numFmtId="0" fontId="9" fillId="26" borderId="58" xfId="0" applyFont="1" applyFill="1" applyBorder="1"/>
    <xf numFmtId="0" fontId="9" fillId="9" borderId="16" xfId="0" applyFont="1" applyFill="1" applyBorder="1" applyAlignment="1">
      <alignment wrapText="1"/>
    </xf>
    <xf numFmtId="0" fontId="0" fillId="9" borderId="55" xfId="0" applyFill="1" applyBorder="1"/>
    <xf numFmtId="0" fontId="9" fillId="9" borderId="56" xfId="0" applyFont="1" applyFill="1" applyBorder="1"/>
    <xf numFmtId="164" fontId="0" fillId="9" borderId="57" xfId="1" applyFont="1" applyFill="1" applyBorder="1"/>
    <xf numFmtId="0" fontId="0" fillId="9" borderId="58" xfId="0" applyFill="1" applyBorder="1"/>
    <xf numFmtId="0" fontId="9" fillId="9" borderId="27" xfId="0" applyFont="1" applyFill="1" applyBorder="1" applyAlignment="1">
      <alignment wrapText="1"/>
    </xf>
    <xf numFmtId="0" fontId="0" fillId="9" borderId="10" xfId="0" applyFill="1" applyBorder="1"/>
    <xf numFmtId="0" fontId="0" fillId="9" borderId="18" xfId="0" applyFill="1" applyBorder="1"/>
    <xf numFmtId="0" fontId="29"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61" xfId="0" applyBorder="1" applyAlignment="1">
      <alignment horizontal="center" wrapText="1"/>
    </xf>
    <xf numFmtId="0" fontId="0" fillId="0" borderId="39" xfId="0" applyBorder="1" applyAlignment="1">
      <alignment horizontal="center" wrapText="1"/>
    </xf>
    <xf numFmtId="0" fontId="0" fillId="0" borderId="62" xfId="0" applyBorder="1" applyAlignment="1">
      <alignment horizontal="center" wrapText="1"/>
    </xf>
    <xf numFmtId="0" fontId="0" fillId="0" borderId="52" xfId="0" applyBorder="1" applyAlignment="1">
      <alignment horizontal="center" wrapText="1"/>
    </xf>
    <xf numFmtId="0" fontId="0" fillId="0" borderId="31" xfId="0" applyBorder="1" applyAlignment="1">
      <alignment horizontal="center" wrapText="1"/>
    </xf>
    <xf numFmtId="0" fontId="0" fillId="0" borderId="30" xfId="0" applyBorder="1" applyAlignment="1">
      <alignment horizontal="center" wrapText="1"/>
    </xf>
    <xf numFmtId="0" fontId="0" fillId="27" borderId="1" xfId="0" applyFill="1" applyBorder="1" applyAlignment="1">
      <alignment horizontal="center" vertical="center" wrapText="1"/>
    </xf>
    <xf numFmtId="0" fontId="0" fillId="26" borderId="41" xfId="0" applyFill="1" applyBorder="1" applyAlignment="1">
      <alignment horizontal="center" vertical="center" wrapText="1"/>
    </xf>
    <xf numFmtId="0" fontId="0" fillId="26" borderId="68" xfId="0" applyFill="1" applyBorder="1" applyAlignment="1">
      <alignment horizontal="center" vertical="center" wrapText="1"/>
    </xf>
    <xf numFmtId="0" fontId="0" fillId="26" borderId="67" xfId="0" applyFill="1" applyBorder="1" applyAlignment="1">
      <alignment horizontal="center" vertical="center" wrapText="1"/>
    </xf>
    <xf numFmtId="0" fontId="0" fillId="26" borderId="5" xfId="0" applyFill="1" applyBorder="1" applyAlignment="1">
      <alignment horizontal="center" vertical="center" wrapText="1"/>
    </xf>
    <xf numFmtId="0" fontId="0" fillId="26" borderId="15" xfId="0" applyFill="1" applyBorder="1" applyAlignment="1">
      <alignment horizontal="center" vertical="center" wrapText="1"/>
    </xf>
    <xf numFmtId="0" fontId="0" fillId="26" borderId="45" xfId="0" applyFill="1" applyBorder="1" applyAlignment="1">
      <alignment horizontal="center" vertical="center" wrapText="1"/>
    </xf>
    <xf numFmtId="0" fontId="0" fillId="27" borderId="67" xfId="0" applyFill="1" applyBorder="1" applyAlignment="1">
      <alignment horizontal="center" vertical="center" wrapText="1"/>
    </xf>
    <xf numFmtId="0" fontId="0" fillId="27" borderId="5" xfId="0" applyFill="1" applyBorder="1" applyAlignment="1">
      <alignment horizontal="center" vertical="center" wrapText="1"/>
    </xf>
    <xf numFmtId="0" fontId="0" fillId="27" borderId="15" xfId="0" applyFill="1" applyBorder="1" applyAlignment="1">
      <alignment horizontal="center" vertical="center" wrapText="1"/>
    </xf>
    <xf numFmtId="0" fontId="0" fillId="27" borderId="45" xfId="0" applyFill="1" applyBorder="1" applyAlignment="1">
      <alignment horizontal="center" vertical="center" wrapText="1"/>
    </xf>
    <xf numFmtId="0" fontId="9" fillId="31" borderId="47" xfId="0" applyFont="1" applyFill="1" applyBorder="1" applyAlignment="1">
      <alignment horizontal="center" vertical="center" wrapText="1"/>
    </xf>
    <xf numFmtId="0" fontId="9" fillId="31" borderId="27" xfId="0" applyFont="1" applyFill="1" applyBorder="1" applyAlignment="1">
      <alignment horizontal="center" vertical="center" wrapText="1"/>
    </xf>
    <xf numFmtId="0" fontId="9" fillId="31" borderId="69" xfId="0" applyFont="1" applyFill="1" applyBorder="1" applyAlignment="1">
      <alignment horizontal="center" vertical="center" wrapText="1"/>
    </xf>
    <xf numFmtId="0" fontId="9" fillId="31" borderId="10" xfId="0" applyFont="1" applyFill="1" applyBorder="1" applyAlignment="1">
      <alignment horizontal="center" vertical="center" wrapText="1"/>
    </xf>
    <xf numFmtId="0" fontId="9" fillId="31" borderId="40" xfId="0" applyFont="1" applyFill="1" applyBorder="1" applyAlignment="1">
      <alignment horizontal="center" vertical="center" wrapText="1"/>
    </xf>
    <xf numFmtId="0" fontId="9" fillId="31" borderId="18" xfId="0" applyFont="1" applyFill="1" applyBorder="1" applyAlignment="1">
      <alignment horizontal="center" vertical="center" wrapText="1"/>
    </xf>
    <xf numFmtId="0" fontId="0" fillId="27" borderId="47" xfId="0" applyFill="1" applyBorder="1" applyAlignment="1">
      <alignment horizontal="center" vertical="center" wrapText="1"/>
    </xf>
    <xf numFmtId="0" fontId="0" fillId="27" borderId="27" xfId="0" applyFill="1" applyBorder="1" applyAlignment="1">
      <alignment horizontal="center" vertical="center" wrapText="1"/>
    </xf>
    <xf numFmtId="0" fontId="0" fillId="14" borderId="1" xfId="0" applyFill="1" applyBorder="1" applyAlignment="1">
      <alignment horizontal="center" vertical="center" wrapText="1"/>
    </xf>
    <xf numFmtId="0" fontId="0" fillId="9" borderId="13" xfId="0" applyFill="1" applyBorder="1" applyAlignment="1">
      <alignment horizontal="center" wrapText="1"/>
    </xf>
    <xf numFmtId="0" fontId="0" fillId="26" borderId="1" xfId="0" applyFill="1" applyBorder="1" applyAlignment="1">
      <alignment horizontal="center" vertical="center" wrapText="1"/>
    </xf>
    <xf numFmtId="0" fontId="0" fillId="24" borderId="5" xfId="0" applyFill="1" applyBorder="1" applyAlignment="1">
      <alignment horizontal="center" vertical="center" wrapText="1"/>
    </xf>
    <xf numFmtId="0" fontId="0" fillId="24" borderId="1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23" borderId="5" xfId="0" applyFill="1" applyBorder="1" applyAlignment="1">
      <alignment horizontal="center" vertical="center" wrapText="1"/>
    </xf>
    <xf numFmtId="0" fontId="0" fillId="23" borderId="10" xfId="0" applyFill="1" applyBorder="1" applyAlignment="1">
      <alignment horizontal="center" vertical="center" wrapText="1"/>
    </xf>
    <xf numFmtId="0" fontId="0" fillId="0" borderId="1" xfId="0" applyBorder="1" applyAlignment="1">
      <alignment horizontal="right" vertical="center"/>
    </xf>
    <xf numFmtId="0" fontId="0" fillId="15" borderId="2" xfId="0" applyFill="1" applyBorder="1" applyAlignment="1">
      <alignment horizontal="center" wrapText="1"/>
    </xf>
    <xf numFmtId="0" fontId="0" fillId="15" borderId="3" xfId="0" applyFill="1" applyBorder="1" applyAlignment="1">
      <alignment horizontal="center" wrapText="1"/>
    </xf>
    <xf numFmtId="0" fontId="0" fillId="15" borderId="4" xfId="0" applyFill="1" applyBorder="1" applyAlignment="1">
      <alignment horizontal="center" wrapText="1"/>
    </xf>
    <xf numFmtId="0" fontId="0" fillId="13" borderId="2" xfId="0" applyFill="1" applyBorder="1" applyAlignment="1">
      <alignment horizontal="left" vertical="center" wrapText="1"/>
    </xf>
    <xf numFmtId="0" fontId="0" fillId="13" borderId="3" xfId="0" applyFill="1" applyBorder="1" applyAlignment="1">
      <alignment horizontal="left" vertical="center" wrapText="1"/>
    </xf>
    <xf numFmtId="0" fontId="0" fillId="13" borderId="4" xfId="0"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1" xfId="0" applyFont="1" applyFill="1" applyBorder="1" applyAlignment="1">
      <alignment horizontal="center"/>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9" fillId="18" borderId="34" xfId="0" applyFont="1" applyFill="1" applyBorder="1" applyAlignment="1">
      <alignment horizontal="center"/>
    </xf>
    <xf numFmtId="0" fontId="9" fillId="18" borderId="37" xfId="0" applyFont="1" applyFill="1" applyBorder="1" applyAlignment="1">
      <alignment horizontal="center"/>
    </xf>
    <xf numFmtId="0" fontId="9" fillId="19" borderId="47" xfId="0" applyFont="1" applyFill="1" applyBorder="1" applyAlignment="1">
      <alignment horizontal="center" vertical="center"/>
    </xf>
    <xf numFmtId="0" fontId="9" fillId="19" borderId="21" xfId="0" applyFont="1" applyFill="1" applyBorder="1" applyAlignment="1">
      <alignment horizontal="center" vertical="center"/>
    </xf>
    <xf numFmtId="0" fontId="9" fillId="19" borderId="27" xfId="0" applyFont="1" applyFill="1" applyBorder="1" applyAlignment="1">
      <alignment horizontal="center" vertical="center"/>
    </xf>
    <xf numFmtId="0" fontId="9" fillId="19" borderId="48" xfId="0" applyFont="1" applyFill="1" applyBorder="1" applyAlignment="1">
      <alignment horizontal="center" vertical="center"/>
    </xf>
    <xf numFmtId="0" fontId="9" fillId="19" borderId="49" xfId="0" applyFont="1" applyFill="1" applyBorder="1" applyAlignment="1">
      <alignment horizontal="center" vertical="center"/>
    </xf>
    <xf numFmtId="0" fontId="9" fillId="18" borderId="44" xfId="0" applyFont="1" applyFill="1" applyBorder="1" applyAlignment="1">
      <alignment horizontal="center"/>
    </xf>
    <xf numFmtId="0" fontId="9" fillId="26" borderId="34" xfId="0" applyFont="1" applyFill="1" applyBorder="1" applyAlignment="1">
      <alignment horizontal="center"/>
    </xf>
    <xf numFmtId="0" fontId="9" fillId="26" borderId="53" xfId="0" applyFont="1" applyFill="1" applyBorder="1" applyAlignment="1">
      <alignment horizontal="center"/>
    </xf>
    <xf numFmtId="0" fontId="9" fillId="26" borderId="54" xfId="0" applyFont="1" applyFill="1" applyBorder="1" applyAlignment="1">
      <alignment horizontal="center"/>
    </xf>
    <xf numFmtId="0" fontId="9" fillId="13" borderId="33" xfId="0" applyFont="1" applyFill="1" applyBorder="1" applyAlignment="1">
      <alignment horizontal="center"/>
    </xf>
    <xf numFmtId="0" fontId="9" fillId="13" borderId="59" xfId="0" applyFont="1" applyFill="1" applyBorder="1" applyAlignment="1">
      <alignment horizontal="center"/>
    </xf>
    <xf numFmtId="0" fontId="9" fillId="13" borderId="35" xfId="0" applyFont="1" applyFill="1" applyBorder="1" applyAlignment="1">
      <alignment horizontal="center"/>
    </xf>
    <xf numFmtId="0" fontId="9" fillId="0" borderId="45" xfId="0" applyFont="1" applyBorder="1" applyAlignment="1">
      <alignment horizontal="center"/>
    </xf>
    <xf numFmtId="0" fontId="9" fillId="0" borderId="18" xfId="0" applyFont="1" applyBorder="1" applyAlignment="1">
      <alignment horizontal="center"/>
    </xf>
    <xf numFmtId="0" fontId="9" fillId="0" borderId="5" xfId="0" applyFont="1" applyBorder="1" applyAlignment="1">
      <alignment horizontal="center"/>
    </xf>
    <xf numFmtId="0" fontId="9" fillId="0" borderId="36"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20" xfId="0" applyFont="1" applyBorder="1" applyAlignment="1">
      <alignment horizontal="center"/>
    </xf>
    <xf numFmtId="0" fontId="9" fillId="0" borderId="46" xfId="0" applyFont="1" applyBorder="1" applyAlignment="1">
      <alignment horizontal="center"/>
    </xf>
    <xf numFmtId="0" fontId="9" fillId="0" borderId="4" xfId="0" applyFont="1" applyBorder="1" applyAlignment="1">
      <alignment horizontal="center"/>
    </xf>
    <xf numFmtId="0" fontId="9" fillId="26" borderId="70" xfId="0" applyFont="1" applyFill="1" applyBorder="1" applyAlignment="1">
      <alignment horizontal="center"/>
    </xf>
    <xf numFmtId="0" fontId="9" fillId="26" borderId="14" xfId="0" applyFont="1" applyFill="1" applyBorder="1" applyAlignment="1">
      <alignment horizontal="center"/>
    </xf>
    <xf numFmtId="0" fontId="9" fillId="26" borderId="71" xfId="0" applyFont="1" applyFill="1" applyBorder="1" applyAlignment="1">
      <alignment horizontal="center"/>
    </xf>
    <xf numFmtId="0" fontId="9" fillId="0" borderId="63" xfId="0" applyFont="1" applyBorder="1" applyAlignment="1">
      <alignment horizontal="center"/>
    </xf>
    <xf numFmtId="0" fontId="9" fillId="0" borderId="13" xfId="0" applyFont="1" applyBorder="1" applyAlignment="1">
      <alignment horizontal="center"/>
    </xf>
    <xf numFmtId="0" fontId="9" fillId="0" borderId="65" xfId="0" applyFont="1" applyBorder="1" applyAlignment="1">
      <alignment horizontal="center"/>
    </xf>
    <xf numFmtId="0" fontId="9" fillId="0" borderId="66" xfId="0" applyFont="1" applyBorder="1" applyAlignment="1">
      <alignment horizontal="center"/>
    </xf>
    <xf numFmtId="0" fontId="9" fillId="0" borderId="26" xfId="0" applyFont="1" applyBorder="1" applyAlignment="1">
      <alignment horizontal="center"/>
    </xf>
    <xf numFmtId="0" fontId="9" fillId="0" borderId="12" xfId="0" applyFont="1" applyBorder="1" applyAlignment="1">
      <alignment horizontal="center"/>
    </xf>
    <xf numFmtId="0" fontId="9" fillId="0" borderId="17" xfId="0" applyFont="1" applyBorder="1" applyAlignment="1">
      <alignment horizontal="center"/>
    </xf>
    <xf numFmtId="0" fontId="9" fillId="0" borderId="45" xfId="0" applyFont="1" applyBorder="1" applyAlignment="1">
      <alignment horizontal="center" vertical="center"/>
    </xf>
    <xf numFmtId="0" fontId="9" fillId="0" borderId="18"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0" fillId="25" borderId="16" xfId="0" applyFill="1" applyBorder="1" applyAlignment="1">
      <alignment horizontal="center" vertical="center" wrapText="1"/>
    </xf>
    <xf numFmtId="0" fontId="0" fillId="25" borderId="1" xfId="0" applyFill="1" applyBorder="1" applyAlignment="1">
      <alignment horizontal="center" vertical="center" wrapText="1"/>
    </xf>
    <xf numFmtId="0" fontId="0" fillId="0" borderId="0" xfId="0" applyFill="1" applyBorder="1" applyAlignment="1">
      <alignment horizontal="center" vertical="center" wrapText="1"/>
    </xf>
    <xf numFmtId="0" fontId="9" fillId="0" borderId="60" xfId="0" applyFont="1" applyBorder="1" applyAlignment="1">
      <alignment horizontal="center"/>
    </xf>
    <xf numFmtId="0" fontId="9" fillId="0" borderId="28" xfId="0" applyFont="1" applyBorder="1" applyAlignment="1">
      <alignment horizontal="center"/>
    </xf>
    <xf numFmtId="0" fontId="0" fillId="2" borderId="16" xfId="0" applyFill="1" applyBorder="1" applyAlignment="1">
      <alignment horizont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1" fillId="0" borderId="50" xfId="3" applyFont="1" applyBorder="1" applyAlignment="1">
      <alignment horizontal="left" wrapText="1" indent="2"/>
    </xf>
    <xf numFmtId="0" fontId="21" fillId="0" borderId="0" xfId="3" applyFont="1" applyBorder="1" applyAlignment="1">
      <alignment horizontal="left" wrapText="1" indent="2"/>
    </xf>
    <xf numFmtId="0" fontId="14" fillId="0" borderId="63" xfId="3" applyFont="1" applyBorder="1" applyAlignment="1">
      <alignment horizontal="left" vertical="top" wrapText="1"/>
    </xf>
    <xf numFmtId="0" fontId="14" fillId="0" borderId="13" xfId="3" applyFont="1" applyBorder="1" applyAlignment="1">
      <alignment horizontal="left" vertical="top" wrapText="1"/>
    </xf>
    <xf numFmtId="0" fontId="21" fillId="0" borderId="64" xfId="3" applyFont="1" applyBorder="1" applyAlignment="1">
      <alignment horizontal="left" vertical="center" wrapText="1"/>
    </xf>
    <xf numFmtId="0" fontId="21" fillId="0" borderId="8" xfId="3" applyFont="1" applyBorder="1" applyAlignment="1">
      <alignment horizontal="left" vertical="center"/>
    </xf>
    <xf numFmtId="0" fontId="21" fillId="0" borderId="50" xfId="3" applyFont="1" applyBorder="1" applyAlignment="1">
      <alignment horizontal="left" vertical="center"/>
    </xf>
    <xf numFmtId="0" fontId="21" fillId="0" borderId="0" xfId="3" applyFont="1" applyBorder="1" applyAlignment="1">
      <alignment horizontal="left" vertical="center"/>
    </xf>
    <xf numFmtId="0" fontId="21" fillId="0" borderId="63" xfId="3" applyFont="1" applyBorder="1" applyAlignment="1">
      <alignment horizontal="left" vertical="center"/>
    </xf>
    <xf numFmtId="0" fontId="21" fillId="0" borderId="13" xfId="3" applyFont="1" applyBorder="1" applyAlignment="1">
      <alignment horizontal="left" vertical="center"/>
    </xf>
    <xf numFmtId="0" fontId="21" fillId="0" borderId="3" xfId="3" applyFont="1" applyBorder="1" applyAlignment="1">
      <alignment horizontal="center" vertical="top" wrapText="1"/>
    </xf>
    <xf numFmtId="0" fontId="21" fillId="0" borderId="24" xfId="3" applyFont="1" applyBorder="1" applyAlignment="1">
      <alignment horizontal="center" vertical="top" wrapText="1"/>
    </xf>
    <xf numFmtId="49" fontId="21" fillId="0" borderId="50" xfId="3" applyNumberFormat="1" applyFont="1" applyBorder="1" applyAlignment="1">
      <alignment horizontal="left" wrapText="1" indent="2"/>
    </xf>
    <xf numFmtId="49" fontId="21" fillId="0" borderId="0" xfId="3" applyNumberFormat="1" applyFont="1" applyBorder="1" applyAlignment="1">
      <alignment horizontal="left" wrapText="1" indent="2"/>
    </xf>
    <xf numFmtId="0" fontId="21" fillId="0" borderId="50" xfId="3" applyFont="1" applyBorder="1" applyAlignment="1">
      <alignment horizontal="left" vertical="center" wrapText="1" indent="2"/>
    </xf>
    <xf numFmtId="0" fontId="21" fillId="0" borderId="0" xfId="3" applyFont="1" applyBorder="1" applyAlignment="1">
      <alignment horizontal="left" vertical="center" wrapText="1" indent="2"/>
    </xf>
    <xf numFmtId="0" fontId="21" fillId="0" borderId="50" xfId="3" applyFont="1" applyBorder="1" applyAlignment="1">
      <alignment horizontal="left" vertical="top" wrapText="1" indent="1"/>
    </xf>
    <xf numFmtId="0" fontId="21" fillId="0" borderId="0" xfId="3" applyFont="1" applyBorder="1" applyAlignment="1">
      <alignment horizontal="left" vertical="top" wrapText="1" indent="1"/>
    </xf>
    <xf numFmtId="0" fontId="21" fillId="0" borderId="50" xfId="3" applyFont="1" applyBorder="1" applyAlignment="1">
      <alignment horizontal="left" wrapText="1" indent="1"/>
    </xf>
    <xf numFmtId="0" fontId="21" fillId="0" borderId="0" xfId="3" applyFont="1" applyBorder="1" applyAlignment="1">
      <alignment horizontal="left" wrapText="1" indent="1"/>
    </xf>
    <xf numFmtId="0" fontId="21" fillId="28" borderId="50" xfId="3" applyFont="1" applyFill="1" applyBorder="1" applyAlignment="1">
      <alignment horizontal="left" wrapText="1" indent="2"/>
    </xf>
    <xf numFmtId="0" fontId="21" fillId="28" borderId="0" xfId="3" applyFont="1" applyFill="1" applyBorder="1" applyAlignment="1">
      <alignment horizontal="left" wrapText="1" indent="2"/>
    </xf>
    <xf numFmtId="0" fontId="26" fillId="30" borderId="50" xfId="0" applyFont="1" applyFill="1" applyBorder="1" applyAlignment="1">
      <alignment horizontal="left" vertical="center"/>
    </xf>
    <xf numFmtId="0" fontId="26" fillId="30" borderId="0" xfId="0" applyFont="1" applyFill="1" applyBorder="1" applyAlignment="1">
      <alignment horizontal="left" vertical="center"/>
    </xf>
    <xf numFmtId="0" fontId="21" fillId="0" borderId="50" xfId="3" quotePrefix="1" applyFont="1" applyBorder="1" applyAlignment="1">
      <alignment horizontal="left" vertical="top" wrapText="1"/>
    </xf>
    <xf numFmtId="0" fontId="21" fillId="0" borderId="0" xfId="3" quotePrefix="1" applyFont="1" applyBorder="1" applyAlignment="1">
      <alignment horizontal="left" vertical="top" wrapText="1"/>
    </xf>
    <xf numFmtId="0" fontId="21" fillId="0" borderId="51" xfId="3" quotePrefix="1" applyFont="1" applyBorder="1" applyAlignment="1">
      <alignment horizontal="left" vertical="top" wrapText="1"/>
    </xf>
    <xf numFmtId="0" fontId="21" fillId="0" borderId="0" xfId="3" applyFont="1" applyBorder="1" applyAlignment="1">
      <alignment horizontal="left" vertical="top" wrapText="1"/>
    </xf>
    <xf numFmtId="0" fontId="21" fillId="0" borderId="51" xfId="3" applyFont="1" applyBorder="1" applyAlignment="1">
      <alignment horizontal="left" vertical="top" wrapText="1"/>
    </xf>
    <xf numFmtId="49" fontId="21" fillId="0" borderId="50" xfId="3" applyNumberFormat="1" applyFont="1" applyBorder="1" applyAlignment="1">
      <alignment horizontal="left" wrapText="1" indent="1"/>
    </xf>
    <xf numFmtId="49" fontId="21" fillId="0" borderId="0" xfId="3" applyNumberFormat="1" applyFont="1" applyBorder="1" applyAlignment="1">
      <alignment horizontal="left" wrapText="1" indent="1"/>
    </xf>
    <xf numFmtId="0" fontId="26" fillId="28" borderId="50" xfId="4" applyFont="1" applyFill="1" applyBorder="1" applyAlignment="1">
      <alignment horizontal="justify" vertical="distributed" wrapText="1"/>
    </xf>
    <xf numFmtId="0" fontId="26" fillId="28" borderId="0" xfId="4" applyFont="1" applyFill="1" applyBorder="1" applyAlignment="1">
      <alignment horizontal="justify" vertical="distributed" wrapText="1"/>
    </xf>
    <xf numFmtId="0" fontId="26" fillId="28" borderId="51" xfId="4" applyFont="1" applyFill="1" applyBorder="1" applyAlignment="1">
      <alignment horizontal="justify" vertical="distributed" wrapText="1"/>
    </xf>
    <xf numFmtId="0" fontId="26" fillId="29" borderId="50" xfId="0" applyFont="1" applyFill="1" applyBorder="1" applyAlignment="1">
      <alignment horizontal="left" vertical="center"/>
    </xf>
    <xf numFmtId="0" fontId="26" fillId="29" borderId="0" xfId="0" applyFont="1" applyFill="1" applyBorder="1" applyAlignment="1">
      <alignment horizontal="left" vertical="center"/>
    </xf>
  </cellXfs>
  <cellStyles count="5">
    <cellStyle name="Comma" xfId="1" builtinId="3"/>
    <cellStyle name="Hyperlink" xfId="2" builtinId="8"/>
    <cellStyle name="Normal" xfId="0" builtinId="0"/>
    <cellStyle name="Normal 10" xfId="4"/>
    <cellStyle name="Normal 2" xfId="3"/>
  </cellStyles>
  <dxfs count="0"/>
  <tableStyles count="0" defaultTableStyle="TableStyleMedium2" defaultPivotStyle="PivotStyleLight16"/>
  <colors>
    <mruColors>
      <color rgb="FFFF7E79"/>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72580082023153E-2"/>
          <c:y val="5.8564582157605724E-2"/>
          <c:w val="0.88454732021606342"/>
          <c:h val="0.84219935786522571"/>
        </c:manualLayout>
      </c:layout>
      <c:barChart>
        <c:barDir val="col"/>
        <c:grouping val="clustered"/>
        <c:varyColors val="0"/>
        <c:ser>
          <c:idx val="4"/>
          <c:order val="0"/>
          <c:tx>
            <c:strRef>
              <c:f>'Mexico data'!$C$34</c:f>
              <c:strCache>
                <c:ptCount val="1"/>
                <c:pt idx="0">
                  <c:v>Population, 2015</c:v>
                </c:pt>
              </c:strCache>
            </c:strRef>
          </c:tx>
          <c:spPr>
            <a:solidFill>
              <a:schemeClr val="accent1">
                <a:lumMod val="60000"/>
                <a:lumOff val="40000"/>
              </a:schemeClr>
            </a:solidFill>
            <a:ln w="3175">
              <a:solidFill>
                <a:schemeClr val="tx1"/>
              </a:solidFill>
            </a:ln>
            <a:effectLst/>
          </c:spPr>
          <c:invertIfNegative val="0"/>
          <c:dPt>
            <c:idx val="5"/>
            <c:invertIfNegative val="0"/>
            <c:bubble3D val="0"/>
            <c:spPr>
              <a:solidFill>
                <a:schemeClr val="bg1">
                  <a:lumMod val="65000"/>
                </a:schemeClr>
              </a:solidFill>
              <a:ln w="3175">
                <a:solidFill>
                  <a:schemeClr val="tx1"/>
                </a:solidFill>
              </a:ln>
              <a:effectLst/>
            </c:spPr>
            <c:extLst>
              <c:ext xmlns:c16="http://schemas.microsoft.com/office/drawing/2014/chart" uri="{C3380CC4-5D6E-409C-BE32-E72D297353CC}">
                <c16:uniqueId val="{00000004-44F4-084A-BD3F-4C71708C9932}"/>
              </c:ext>
            </c:extLst>
          </c:dPt>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data'!$C$35:$C$40</c:f>
              <c:numCache>
                <c:formatCode>_-* #,##0_-;\-* #,##0_-;_-* "-"??_-;_-@_-</c:formatCode>
                <c:ptCount val="6"/>
                <c:pt idx="0">
                  <c:v>36556582</c:v>
                </c:pt>
                <c:pt idx="1">
                  <c:v>16120437</c:v>
                </c:pt>
                <c:pt idx="2">
                  <c:v>26401976</c:v>
                </c:pt>
                <c:pt idx="3">
                  <c:v>0</c:v>
                </c:pt>
                <c:pt idx="4">
                  <c:v>21578538</c:v>
                </c:pt>
                <c:pt idx="5">
                  <c:v>26275043</c:v>
                </c:pt>
              </c:numCache>
            </c:numRef>
          </c:val>
          <c:extLst>
            <c:ext xmlns:c16="http://schemas.microsoft.com/office/drawing/2014/chart" uri="{C3380CC4-5D6E-409C-BE32-E72D297353CC}">
              <c16:uniqueId val="{00000005-44F4-084A-BD3F-4C71708C9932}"/>
            </c:ext>
          </c:extLst>
        </c:ser>
        <c:ser>
          <c:idx val="1"/>
          <c:order val="1"/>
          <c:tx>
            <c:strRef>
              <c:f>'Mexico data'!$D$34</c:f>
              <c:strCache>
                <c:ptCount val="1"/>
                <c:pt idx="0">
                  <c:v>Population, 2035</c:v>
                </c:pt>
              </c:strCache>
            </c:strRef>
          </c:tx>
          <c:spPr>
            <a:solidFill>
              <a:schemeClr val="accent6">
                <a:lumMod val="40000"/>
                <a:lumOff val="60000"/>
              </a:schemeClr>
            </a:solidFill>
            <a:ln>
              <a:solidFill>
                <a:schemeClr val="tx1"/>
              </a:solidFill>
            </a:ln>
            <a:effectLst/>
          </c:spPr>
          <c:invertIfNegative val="0"/>
          <c:dPt>
            <c:idx val="5"/>
            <c:invertIfNegative val="0"/>
            <c:bubble3D val="0"/>
            <c:spPr>
              <a:solidFill>
                <a:schemeClr val="bg1">
                  <a:lumMod val="75000"/>
                </a:schemeClr>
              </a:solidFill>
              <a:ln>
                <a:solidFill>
                  <a:schemeClr val="tx1"/>
                </a:solidFill>
              </a:ln>
              <a:effectLst/>
            </c:spPr>
            <c:extLst>
              <c:ext xmlns:c16="http://schemas.microsoft.com/office/drawing/2014/chart" uri="{C3380CC4-5D6E-409C-BE32-E72D297353CC}">
                <c16:uniqueId val="{00000007-44F4-084A-BD3F-4C71708C9932}"/>
              </c:ext>
            </c:extLst>
          </c:dPt>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data'!$D$35:$D$40</c:f>
              <c:numCache>
                <c:formatCode>_-* #,##0_-;\-* #,##0_-;_-* "-"??_-;_-@_-</c:formatCode>
                <c:ptCount val="6"/>
                <c:pt idx="0">
                  <c:v>43316151</c:v>
                </c:pt>
                <c:pt idx="1">
                  <c:v>10867303</c:v>
                </c:pt>
                <c:pt idx="2">
                  <c:v>37959030</c:v>
                </c:pt>
                <c:pt idx="3">
                  <c:v>12244848</c:v>
                </c:pt>
                <c:pt idx="4">
                  <c:v>25408061</c:v>
                </c:pt>
                <c:pt idx="5">
                  <c:v>23265212</c:v>
                </c:pt>
              </c:numCache>
            </c:numRef>
          </c:val>
          <c:extLst>
            <c:ext xmlns:c16="http://schemas.microsoft.com/office/drawing/2014/chart" uri="{C3380CC4-5D6E-409C-BE32-E72D297353CC}">
              <c16:uniqueId val="{00000008-44F4-084A-BD3F-4C71708C9932}"/>
            </c:ext>
          </c:extLst>
        </c:ser>
        <c:ser>
          <c:idx val="2"/>
          <c:order val="2"/>
          <c:tx>
            <c:strRef>
              <c:f>'Mexico data'!$E$34</c:f>
              <c:strCache>
                <c:ptCount val="1"/>
                <c:pt idx="0">
                  <c:v>Population, 2050</c:v>
                </c:pt>
              </c:strCache>
            </c:strRef>
          </c:tx>
          <c:spPr>
            <a:solidFill>
              <a:schemeClr val="accent4">
                <a:lumMod val="40000"/>
                <a:lumOff val="60000"/>
              </a:schemeClr>
            </a:solidFill>
            <a:ln w="3175">
              <a:solidFill>
                <a:schemeClr val="tx1"/>
              </a:solidFill>
            </a:ln>
            <a:effectLst/>
          </c:spPr>
          <c:invertIfNegative val="0"/>
          <c:dPt>
            <c:idx val="5"/>
            <c:invertIfNegative val="0"/>
            <c:bubble3D val="0"/>
            <c:spPr>
              <a:solidFill>
                <a:schemeClr val="bg1">
                  <a:lumMod val="85000"/>
                </a:schemeClr>
              </a:solidFill>
              <a:ln w="3175">
                <a:solidFill>
                  <a:schemeClr val="tx1"/>
                </a:solidFill>
              </a:ln>
              <a:effectLst/>
            </c:spPr>
            <c:extLst>
              <c:ext xmlns:c16="http://schemas.microsoft.com/office/drawing/2014/chart" uri="{C3380CC4-5D6E-409C-BE32-E72D297353CC}">
                <c16:uniqueId val="{00000005-3DF4-E848-883D-C74E485D1AA5}"/>
              </c:ext>
            </c:extLst>
          </c:dPt>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data'!$E$35:$E$40</c:f>
              <c:numCache>
                <c:formatCode>_-* #,##0_-;\-* #,##0_-;_-* "-"??_-;_-@_-</c:formatCode>
                <c:ptCount val="6"/>
                <c:pt idx="0">
                  <c:v>45640076</c:v>
                </c:pt>
                <c:pt idx="1">
                  <c:v>4529180</c:v>
                </c:pt>
                <c:pt idx="2">
                  <c:v>45434727</c:v>
                </c:pt>
                <c:pt idx="3">
                  <c:v>22764183</c:v>
                </c:pt>
                <c:pt idx="4">
                  <c:v>26542607</c:v>
                </c:pt>
                <c:pt idx="5">
                  <c:v>19368530</c:v>
                </c:pt>
              </c:numCache>
            </c:numRef>
          </c:val>
          <c:extLst>
            <c:ext xmlns:c16="http://schemas.microsoft.com/office/drawing/2014/chart" uri="{C3380CC4-5D6E-409C-BE32-E72D297353CC}">
              <c16:uniqueId val="{00000009-44F4-084A-BD3F-4C71708C9932}"/>
            </c:ext>
          </c:extLst>
        </c:ser>
        <c:dLbls>
          <c:showLegendKey val="0"/>
          <c:showVal val="0"/>
          <c:showCatName val="0"/>
          <c:showSerName val="0"/>
          <c:showPercent val="0"/>
          <c:showBubbleSize val="0"/>
        </c:dLbls>
        <c:gapWidth val="150"/>
        <c:axId val="25825087"/>
        <c:axId val="941677696"/>
      </c:barChart>
      <c:lineChart>
        <c:grouping val="standard"/>
        <c:varyColors val="0"/>
        <c:ser>
          <c:idx val="5"/>
          <c:order val="3"/>
          <c:tx>
            <c:strRef>
              <c:f>'Mexico data'!$F$34</c:f>
              <c:strCache>
                <c:ptCount val="1"/>
                <c:pt idx="0">
                  <c:v>Built area, 2015</c:v>
                </c:pt>
              </c:strCache>
            </c:strRef>
          </c:tx>
          <c:spPr>
            <a:ln w="28575" cap="rnd">
              <a:solidFill>
                <a:schemeClr val="accent1">
                  <a:lumMod val="75000"/>
                </a:schemeClr>
              </a:solidFill>
              <a:prstDash val="sysDot"/>
              <a:round/>
            </a:ln>
            <a:effectLst/>
          </c:spPr>
          <c:marker>
            <c:symbol val="none"/>
          </c:marker>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data'!$F$35:$F$40</c:f>
              <c:numCache>
                <c:formatCode>_-* #,##0_-;\-* #,##0_-;_-* "-"??_-;_-@_-</c:formatCode>
                <c:ptCount val="6"/>
                <c:pt idx="0">
                  <c:v>3920</c:v>
                </c:pt>
                <c:pt idx="1">
                  <c:v>1729</c:v>
                </c:pt>
                <c:pt idx="2">
                  <c:v>2831</c:v>
                </c:pt>
                <c:pt idx="3">
                  <c:v>0</c:v>
                </c:pt>
                <c:pt idx="4">
                  <c:v>2314</c:v>
                </c:pt>
                <c:pt idx="5">
                  <c:v>3740</c:v>
                </c:pt>
              </c:numCache>
            </c:numRef>
          </c:val>
          <c:smooth val="0"/>
          <c:extLst>
            <c:ext xmlns:c16="http://schemas.microsoft.com/office/drawing/2014/chart" uri="{C3380CC4-5D6E-409C-BE32-E72D297353CC}">
              <c16:uniqueId val="{0000000A-44F4-084A-BD3F-4C71708C9932}"/>
            </c:ext>
          </c:extLst>
        </c:ser>
        <c:ser>
          <c:idx val="3"/>
          <c:order val="4"/>
          <c:tx>
            <c:strRef>
              <c:f>'Mexico data'!$G$34</c:f>
              <c:strCache>
                <c:ptCount val="1"/>
                <c:pt idx="0">
                  <c:v>Built area, 2035</c:v>
                </c:pt>
              </c:strCache>
            </c:strRef>
          </c:tx>
          <c:spPr>
            <a:ln w="28575" cap="rnd">
              <a:solidFill>
                <a:schemeClr val="accent6"/>
              </a:solidFill>
              <a:prstDash val="sysDot"/>
              <a:round/>
            </a:ln>
            <a:effectLst/>
          </c:spPr>
          <c:marker>
            <c:symbol val="none"/>
          </c:marker>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data'!$G$35:$G$40</c:f>
              <c:numCache>
                <c:formatCode>_-* #,##0_-;\-* #,##0_-;_-* "-"??_-;_-@_-</c:formatCode>
                <c:ptCount val="6"/>
                <c:pt idx="0">
                  <c:v>4713</c:v>
                </c:pt>
                <c:pt idx="1">
                  <c:v>1182</c:v>
                </c:pt>
                <c:pt idx="2">
                  <c:v>4130</c:v>
                </c:pt>
                <c:pt idx="3">
                  <c:v>1332</c:v>
                </c:pt>
                <c:pt idx="4">
                  <c:v>2764</c:v>
                </c:pt>
                <c:pt idx="5">
                  <c:v>3139</c:v>
                </c:pt>
              </c:numCache>
            </c:numRef>
          </c:val>
          <c:smooth val="0"/>
          <c:extLst>
            <c:ext xmlns:c16="http://schemas.microsoft.com/office/drawing/2014/chart" uri="{C3380CC4-5D6E-409C-BE32-E72D297353CC}">
              <c16:uniqueId val="{0000000B-44F4-084A-BD3F-4C71708C9932}"/>
            </c:ext>
          </c:extLst>
        </c:ser>
        <c:ser>
          <c:idx val="6"/>
          <c:order val="5"/>
          <c:tx>
            <c:strRef>
              <c:f>'Mexico data'!$H$34</c:f>
              <c:strCache>
                <c:ptCount val="1"/>
                <c:pt idx="0">
                  <c:v>Built area, 2050</c:v>
                </c:pt>
              </c:strCache>
            </c:strRef>
          </c:tx>
          <c:spPr>
            <a:ln w="28575" cap="rnd" cmpd="dbl">
              <a:solidFill>
                <a:schemeClr val="accent4">
                  <a:lumMod val="75000"/>
                </a:schemeClr>
              </a:solidFill>
              <a:prstDash val="solid"/>
              <a:round/>
            </a:ln>
            <a:effectLst/>
          </c:spPr>
          <c:marker>
            <c:symbol val="none"/>
          </c:marker>
          <c:cat>
            <c:multiLvlStrRef>
              <c:f>'Mexico data'!$A$35:$B$40</c:f>
              <c:multiLvlStrCache>
                <c:ptCount val="6"/>
                <c:lvl>
                  <c:pt idx="0">
                    <c:v>&lt; 500 thousand</c:v>
                  </c:pt>
                  <c:pt idx="1">
                    <c:v>500 thousand to 1 million</c:v>
                  </c:pt>
                  <c:pt idx="2">
                    <c:v>1 – 5 millions</c:v>
                  </c:pt>
                  <c:pt idx="3">
                    <c:v>5 – 10 milions</c:v>
                  </c:pt>
                  <c:pt idx="4">
                    <c:v>&gt; 10 millions</c:v>
                  </c:pt>
                </c:lvl>
                <c:lvl>
                  <c:pt idx="0">
                    <c:v>Urban</c:v>
                  </c:pt>
                  <c:pt idx="5">
                    <c:v>Rural</c:v>
                  </c:pt>
                </c:lvl>
              </c:multiLvlStrCache>
            </c:multiLvlStrRef>
          </c:cat>
          <c:val>
            <c:numRef>
              <c:f>'Mexico data'!$H$35:$H$40</c:f>
              <c:numCache>
                <c:formatCode>_-* #,##0_-;\-* #,##0_-;_-* "-"??_-;_-@_-</c:formatCode>
                <c:ptCount val="6"/>
                <c:pt idx="0">
                  <c:v>4965</c:v>
                </c:pt>
                <c:pt idx="1">
                  <c:v>493</c:v>
                </c:pt>
                <c:pt idx="2">
                  <c:v>4944</c:v>
                </c:pt>
                <c:pt idx="3">
                  <c:v>2477</c:v>
                </c:pt>
                <c:pt idx="4">
                  <c:v>2888</c:v>
                </c:pt>
                <c:pt idx="5">
                  <c:v>2614</c:v>
                </c:pt>
              </c:numCache>
            </c:numRef>
          </c:val>
          <c:smooth val="0"/>
          <c:extLst>
            <c:ext xmlns:c16="http://schemas.microsoft.com/office/drawing/2014/chart" uri="{C3380CC4-5D6E-409C-BE32-E72D297353CC}">
              <c16:uniqueId val="{0000000D-44F4-084A-BD3F-4C71708C9932}"/>
            </c:ext>
          </c:extLst>
        </c:ser>
        <c:dLbls>
          <c:showLegendKey val="0"/>
          <c:showVal val="0"/>
          <c:showCatName val="0"/>
          <c:showSerName val="0"/>
          <c:showPercent val="0"/>
          <c:showBubbleSize val="0"/>
        </c:dLbls>
        <c:marker val="1"/>
        <c:smooth val="0"/>
        <c:axId val="728121055"/>
        <c:axId val="865870175"/>
      </c:lineChart>
      <c:catAx>
        <c:axId val="2582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677696"/>
        <c:crosses val="autoZero"/>
        <c:auto val="1"/>
        <c:lblAlgn val="ctr"/>
        <c:lblOffset val="100"/>
        <c:noMultiLvlLbl val="0"/>
      </c:catAx>
      <c:valAx>
        <c:axId val="94167769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25087"/>
        <c:crosses val="autoZero"/>
        <c:crossBetween val="between"/>
        <c:dispUnits>
          <c:builtInUnit val="millions"/>
          <c:dispUnitsLbl>
            <c:layout>
              <c:manualLayout>
                <c:xMode val="edge"/>
                <c:yMode val="edge"/>
                <c:x val="0"/>
                <c:y val="0.25032938076416339"/>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inhabitants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865870175"/>
        <c:scaling>
          <c:orientation val="minMax"/>
        </c:scaling>
        <c:delete val="0"/>
        <c:axPos val="r"/>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121055"/>
        <c:crosses val="max"/>
        <c:crossBetween val="between"/>
        <c:dispUnits>
          <c:builtInUnit val="thousands"/>
          <c:dispUnitsLbl>
            <c:layout>
              <c:manualLayout>
                <c:xMode val="edge"/>
                <c:yMode val="edge"/>
                <c:x val="0.97577738397549507"/>
                <c:y val="0.1844532279314888"/>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a:t>
                  </a:r>
                  <a:r>
                    <a:rPr lang="en-US" baseline="0"/>
                    <a:t> of square kilometers</a:t>
                  </a:r>
                  <a:endParaRPr lang="en-US"/>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28121055"/>
        <c:scaling>
          <c:orientation val="minMax"/>
        </c:scaling>
        <c:delete val="1"/>
        <c:axPos val="b"/>
        <c:numFmt formatCode="General" sourceLinked="1"/>
        <c:majorTickMark val="out"/>
        <c:minorTickMark val="none"/>
        <c:tickLblPos val="nextTo"/>
        <c:crossAx val="865870175"/>
        <c:crosses val="autoZero"/>
        <c:auto val="1"/>
        <c:lblAlgn val="ctr"/>
        <c:lblOffset val="100"/>
        <c:noMultiLvlLbl val="0"/>
      </c:catAx>
      <c:spPr>
        <a:noFill/>
        <a:ln>
          <a:noFill/>
        </a:ln>
        <a:effectLst/>
      </c:spPr>
    </c:plotArea>
    <c:legend>
      <c:legendPos val="l"/>
      <c:layout>
        <c:manualLayout>
          <c:xMode val="edge"/>
          <c:yMode val="edge"/>
          <c:x val="0.65041693393200772"/>
          <c:y val="1.912876930336704E-2"/>
          <c:w val="0.27171940422136137"/>
          <c:h val="0.12978006421347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66496163682868E-2"/>
          <c:y val="3.4976152623211444E-2"/>
          <c:w val="0.90717817561807335"/>
          <c:h val="0.85749661727066728"/>
        </c:manualLayout>
      </c:layout>
      <c:barChart>
        <c:barDir val="col"/>
        <c:grouping val="clustered"/>
        <c:varyColors val="0"/>
        <c:ser>
          <c:idx val="0"/>
          <c:order val="0"/>
          <c:tx>
            <c:strRef>
              <c:f>[1]Sheet1!$W$18</c:f>
              <c:strCache>
                <c:ptCount val="1"/>
                <c:pt idx="0">
                  <c:v>#REF!</c:v>
                </c:pt>
              </c:strCache>
            </c:strRef>
          </c:tx>
          <c:spPr>
            <a:solidFill>
              <a:schemeClr val="accent1">
                <a:lumMod val="60000"/>
                <a:lumOff val="40000"/>
              </a:schemeClr>
            </a:solidFill>
            <a:ln>
              <a:solidFill>
                <a:schemeClr val="tx1"/>
              </a:solidFill>
            </a:ln>
            <a:effectLst/>
          </c:spPr>
          <c:invertIfNegative val="0"/>
          <c:dPt>
            <c:idx val="1"/>
            <c:invertIfNegative val="0"/>
            <c:bubble3D val="0"/>
            <c:spPr>
              <a:solidFill>
                <a:schemeClr val="bg1">
                  <a:lumMod val="75000"/>
                </a:schemeClr>
              </a:solidFill>
              <a:ln>
                <a:solidFill>
                  <a:schemeClr val="tx1"/>
                </a:solidFill>
              </a:ln>
              <a:effectLst/>
            </c:spPr>
            <c:extLst>
              <c:ext xmlns:c16="http://schemas.microsoft.com/office/drawing/2014/chart" uri="{C3380CC4-5D6E-409C-BE32-E72D297353CC}">
                <c16:uniqueId val="{00000001-3BB5-F74D-977B-B32EB1F44A97}"/>
              </c:ext>
            </c:extLst>
          </c:dPt>
          <c:cat>
            <c:numRef>
              <c:f>[1]Sheet1!$V$19:$V$20</c:f>
              <c:numCache>
                <c:formatCode>General</c:formatCode>
                <c:ptCount val="2"/>
                <c:pt idx="0">
                  <c:v>0</c:v>
                </c:pt>
                <c:pt idx="1">
                  <c:v>0</c:v>
                </c:pt>
              </c:numCache>
            </c:numRef>
          </c:cat>
          <c:val>
            <c:numRef>
              <c:f>[1]Sheet1!$W$19:$W$20</c:f>
              <c:numCache>
                <c:formatCode>General</c:formatCode>
                <c:ptCount val="2"/>
                <c:pt idx="0">
                  <c:v>0</c:v>
                </c:pt>
                <c:pt idx="1">
                  <c:v>0</c:v>
                </c:pt>
              </c:numCache>
            </c:numRef>
          </c:val>
          <c:extLst>
            <c:ext xmlns:c16="http://schemas.microsoft.com/office/drawing/2014/chart" uri="{C3380CC4-5D6E-409C-BE32-E72D297353CC}">
              <c16:uniqueId val="{00000002-3BB5-F74D-977B-B32EB1F44A97}"/>
            </c:ext>
          </c:extLst>
        </c:ser>
        <c:ser>
          <c:idx val="1"/>
          <c:order val="1"/>
          <c:tx>
            <c:strRef>
              <c:f>[1]Sheet1!$X$18</c:f>
              <c:strCache>
                <c:ptCount val="1"/>
                <c:pt idx="0">
                  <c:v>#REF!</c:v>
                </c:pt>
              </c:strCache>
            </c:strRef>
          </c:tx>
          <c:spPr>
            <a:solidFill>
              <a:schemeClr val="accent4">
                <a:lumMod val="40000"/>
                <a:lumOff val="60000"/>
              </a:schemeClr>
            </a:solidFill>
            <a:ln>
              <a:solidFill>
                <a:schemeClr val="tx1"/>
              </a:solidFill>
            </a:ln>
            <a:effectLst/>
          </c:spPr>
          <c:invertIfNegative val="0"/>
          <c:dPt>
            <c:idx val="1"/>
            <c:invertIfNegative val="0"/>
            <c:bubble3D val="0"/>
            <c:spPr>
              <a:solidFill>
                <a:schemeClr val="bg1">
                  <a:lumMod val="85000"/>
                </a:schemeClr>
              </a:solidFill>
              <a:ln>
                <a:solidFill>
                  <a:schemeClr val="tx1"/>
                </a:solidFill>
              </a:ln>
              <a:effectLst/>
            </c:spPr>
            <c:extLst>
              <c:ext xmlns:c16="http://schemas.microsoft.com/office/drawing/2014/chart" uri="{C3380CC4-5D6E-409C-BE32-E72D297353CC}">
                <c16:uniqueId val="{00000004-3BB5-F74D-977B-B32EB1F44A97}"/>
              </c:ext>
            </c:extLst>
          </c:dPt>
          <c:cat>
            <c:numRef>
              <c:f>[1]Sheet1!$V$19:$V$20</c:f>
              <c:numCache>
                <c:formatCode>General</c:formatCode>
                <c:ptCount val="2"/>
                <c:pt idx="0">
                  <c:v>0</c:v>
                </c:pt>
                <c:pt idx="1">
                  <c:v>0</c:v>
                </c:pt>
              </c:numCache>
            </c:numRef>
          </c:cat>
          <c:val>
            <c:numRef>
              <c:f>[1]Sheet1!$X$19:$X$20</c:f>
              <c:numCache>
                <c:formatCode>General</c:formatCode>
                <c:ptCount val="2"/>
                <c:pt idx="0">
                  <c:v>0</c:v>
                </c:pt>
                <c:pt idx="1">
                  <c:v>0</c:v>
                </c:pt>
              </c:numCache>
            </c:numRef>
          </c:val>
          <c:extLst>
            <c:ext xmlns:c16="http://schemas.microsoft.com/office/drawing/2014/chart" uri="{C3380CC4-5D6E-409C-BE32-E72D297353CC}">
              <c16:uniqueId val="{00000005-3BB5-F74D-977B-B32EB1F44A97}"/>
            </c:ext>
          </c:extLst>
        </c:ser>
        <c:ser>
          <c:idx val="2"/>
          <c:order val="2"/>
          <c:tx>
            <c:strRef>
              <c:f>[1]Sheet1!$Y$18</c:f>
              <c:strCache>
                <c:ptCount val="1"/>
                <c:pt idx="0">
                  <c:v>#REF!</c:v>
                </c:pt>
              </c:strCache>
            </c:strRef>
          </c:tx>
          <c:spPr>
            <a:solidFill>
              <a:srgbClr val="C00000">
                <a:alpha val="31000"/>
              </a:srgbClr>
            </a:solidFill>
            <a:ln>
              <a:solidFill>
                <a:schemeClr val="tx1"/>
              </a:solidFill>
            </a:ln>
            <a:effectLst/>
          </c:spPr>
          <c:invertIfNegative val="0"/>
          <c:cat>
            <c:numRef>
              <c:f>[1]Sheet1!$V$19:$V$20</c:f>
              <c:numCache>
                <c:formatCode>General</c:formatCode>
                <c:ptCount val="2"/>
                <c:pt idx="0">
                  <c:v>0</c:v>
                </c:pt>
                <c:pt idx="1">
                  <c:v>0</c:v>
                </c:pt>
              </c:numCache>
            </c:numRef>
          </c:cat>
          <c:val>
            <c:numRef>
              <c:f>[1]Sheet1!$Y$19:$Y$20</c:f>
              <c:numCache>
                <c:formatCode>General</c:formatCode>
                <c:ptCount val="2"/>
                <c:pt idx="0">
                  <c:v>0</c:v>
                </c:pt>
                <c:pt idx="1">
                  <c:v>0</c:v>
                </c:pt>
              </c:numCache>
            </c:numRef>
          </c:val>
          <c:extLst>
            <c:ext xmlns:c16="http://schemas.microsoft.com/office/drawing/2014/chart" uri="{C3380CC4-5D6E-409C-BE32-E72D297353CC}">
              <c16:uniqueId val="{00000006-3BB5-F74D-977B-B32EB1F44A97}"/>
            </c:ext>
          </c:extLst>
        </c:ser>
        <c:dLbls>
          <c:showLegendKey val="0"/>
          <c:showVal val="0"/>
          <c:showCatName val="0"/>
          <c:showSerName val="0"/>
          <c:showPercent val="0"/>
          <c:showBubbleSize val="0"/>
        </c:dLbls>
        <c:gapWidth val="219"/>
        <c:axId val="521761183"/>
        <c:axId val="443993199"/>
      </c:barChart>
      <c:catAx>
        <c:axId val="521761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993199"/>
        <c:crosses val="autoZero"/>
        <c:auto val="1"/>
        <c:lblAlgn val="ctr"/>
        <c:lblOffset val="100"/>
        <c:noMultiLvlLbl val="0"/>
      </c:catAx>
      <c:valAx>
        <c:axId val="443993199"/>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761183"/>
        <c:crosses val="autoZero"/>
        <c:crossBetween val="between"/>
        <c:dispUnits>
          <c:builtInUnit val="thousands"/>
          <c:dispUnitsLbl>
            <c:layout>
              <c:manualLayout>
                <c:xMode val="edge"/>
                <c:yMode val="edge"/>
                <c:x val="1.7050298380221654E-3"/>
                <c:y val="0.21621621621621623"/>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 tons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l"/>
      <c:layout>
        <c:manualLayout>
          <c:xMode val="edge"/>
          <c:yMode val="edge"/>
          <c:x val="0.79113373862916425"/>
          <c:y val="0.10122006488319393"/>
          <c:w val="0.12864824312809298"/>
          <c:h val="0.209568151807111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55932203389832E-2"/>
          <c:y val="1.9783783783783784E-2"/>
          <c:w val="0.9077824858757062"/>
          <c:h val="0.79437752713343268"/>
        </c:manualLayout>
      </c:layout>
      <c:barChart>
        <c:barDir val="col"/>
        <c:grouping val="stacked"/>
        <c:varyColors val="0"/>
        <c:ser>
          <c:idx val="0"/>
          <c:order val="0"/>
          <c:tx>
            <c:strRef>
              <c:f>'Mexico data'!$W$45</c:f>
              <c:strCache>
                <c:ptCount val="1"/>
                <c:pt idx="0">
                  <c:v>Biomass</c:v>
                </c:pt>
              </c:strCache>
            </c:strRef>
          </c:tx>
          <c:spPr>
            <a:pattFill prst="pct10">
              <a:fgClr>
                <a:schemeClr val="bg1">
                  <a:lumMod val="75000"/>
                </a:schemeClr>
              </a:fgClr>
              <a:bgClr>
                <a:schemeClr val="bg1"/>
              </a:bgClr>
            </a:pattFill>
            <a:ln>
              <a:solidFill>
                <a:schemeClr val="bg1">
                  <a:lumMod val="65000"/>
                </a:schemeClr>
              </a:solidFill>
            </a:ln>
            <a:effectLst/>
          </c:spPr>
          <c:invertIfNegative val="0"/>
          <c:dPt>
            <c:idx val="0"/>
            <c:invertIfNegative val="0"/>
            <c:bubble3D val="0"/>
            <c:spPr>
              <a:pattFill prst="pct10">
                <a:fgClr>
                  <a:schemeClr val="accent1"/>
                </a:fgClr>
                <a:bgClr>
                  <a:schemeClr val="bg1"/>
                </a:bgClr>
              </a:pattFill>
              <a:ln>
                <a:solidFill>
                  <a:schemeClr val="accent1"/>
                </a:solidFill>
              </a:ln>
              <a:effectLst/>
            </c:spPr>
            <c:extLst>
              <c:ext xmlns:c16="http://schemas.microsoft.com/office/drawing/2014/chart" uri="{C3380CC4-5D6E-409C-BE32-E72D297353CC}">
                <c16:uniqueId val="{00000008-CD25-0442-82BD-F407080C5710}"/>
              </c:ext>
            </c:extLst>
          </c:dPt>
          <c:dPt>
            <c:idx val="2"/>
            <c:invertIfNegative val="0"/>
            <c:bubble3D val="0"/>
            <c:spPr>
              <a:pattFill prst="pct10">
                <a:fgClr>
                  <a:srgbClr val="C00000"/>
                </a:fgClr>
                <a:bgClr>
                  <a:schemeClr val="bg1"/>
                </a:bgClr>
              </a:pattFill>
              <a:ln>
                <a:solidFill>
                  <a:srgbClr val="C00000"/>
                </a:solidFill>
              </a:ln>
              <a:effectLst/>
            </c:spPr>
            <c:extLst>
              <c:ext xmlns:c16="http://schemas.microsoft.com/office/drawing/2014/chart" uri="{C3380CC4-5D6E-409C-BE32-E72D297353CC}">
                <c16:uniqueId val="{0000000C-CD25-0442-82BD-F407080C5710}"/>
              </c:ext>
            </c:extLst>
          </c:dPt>
          <c:cat>
            <c:strRef>
              <c:f>'Mexico data'!$X$44:$AA$44</c:f>
              <c:strCache>
                <c:ptCount val="4"/>
                <c:pt idx="0">
                  <c:v>DMC_u 2015</c:v>
                </c:pt>
                <c:pt idx="1">
                  <c:v>DMC_u 2050 (p)</c:v>
                </c:pt>
                <c:pt idx="2">
                  <c:v>DMC_u 2050 (average)</c:v>
                </c:pt>
                <c:pt idx="3">
                  <c:v>DMC_u 2050 (p+$)</c:v>
                </c:pt>
              </c:strCache>
            </c:strRef>
          </c:cat>
          <c:val>
            <c:numRef>
              <c:f>'Mexico data'!$X$45:$AA$45</c:f>
              <c:numCache>
                <c:formatCode>General</c:formatCode>
                <c:ptCount val="4"/>
                <c:pt idx="0">
                  <c:v>364.82119848995114</c:v>
                </c:pt>
                <c:pt idx="1">
                  <c:v>529.65695621526834</c:v>
                </c:pt>
                <c:pt idx="2">
                  <c:v>668.12045838502547</c:v>
                </c:pt>
                <c:pt idx="3">
                  <c:v>806.58396055478249</c:v>
                </c:pt>
              </c:numCache>
            </c:numRef>
          </c:val>
          <c:extLst>
            <c:ext xmlns:c16="http://schemas.microsoft.com/office/drawing/2014/chart" uri="{C3380CC4-5D6E-409C-BE32-E72D297353CC}">
              <c16:uniqueId val="{00000000-CD25-0442-82BD-F407080C5710}"/>
            </c:ext>
          </c:extLst>
        </c:ser>
        <c:ser>
          <c:idx val="1"/>
          <c:order val="1"/>
          <c:tx>
            <c:strRef>
              <c:f>'Mexico data'!$W$46</c:f>
              <c:strCache>
                <c:ptCount val="1"/>
                <c:pt idx="0">
                  <c:v>Fossil fuels</c:v>
                </c:pt>
              </c:strCache>
            </c:strRef>
          </c:tx>
          <c:spPr>
            <a:pattFill prst="zigZag">
              <a:fgClr>
                <a:schemeClr val="bg1">
                  <a:lumMod val="75000"/>
                </a:schemeClr>
              </a:fgClr>
              <a:bgClr>
                <a:schemeClr val="bg1"/>
              </a:bgClr>
            </a:pattFill>
            <a:ln>
              <a:solidFill>
                <a:schemeClr val="bg1">
                  <a:lumMod val="65000"/>
                </a:schemeClr>
              </a:solidFill>
            </a:ln>
            <a:effectLst/>
          </c:spPr>
          <c:invertIfNegative val="0"/>
          <c:dPt>
            <c:idx val="0"/>
            <c:invertIfNegative val="0"/>
            <c:bubble3D val="0"/>
            <c:spPr>
              <a:pattFill prst="zigZag">
                <a:fgClr>
                  <a:schemeClr val="accent1"/>
                </a:fgClr>
                <a:bgClr>
                  <a:schemeClr val="bg1"/>
                </a:bgClr>
              </a:pattFill>
              <a:ln>
                <a:solidFill>
                  <a:schemeClr val="accent1"/>
                </a:solidFill>
              </a:ln>
              <a:effectLst/>
            </c:spPr>
            <c:extLst>
              <c:ext xmlns:c16="http://schemas.microsoft.com/office/drawing/2014/chart" uri="{C3380CC4-5D6E-409C-BE32-E72D297353CC}">
                <c16:uniqueId val="{00000007-CD25-0442-82BD-F407080C5710}"/>
              </c:ext>
            </c:extLst>
          </c:dPt>
          <c:dPt>
            <c:idx val="2"/>
            <c:invertIfNegative val="0"/>
            <c:bubble3D val="0"/>
            <c:spPr>
              <a:pattFill prst="zigZag">
                <a:fgClr>
                  <a:srgbClr val="C00000"/>
                </a:fgClr>
                <a:bgClr>
                  <a:schemeClr val="bg1"/>
                </a:bgClr>
              </a:pattFill>
              <a:ln>
                <a:solidFill>
                  <a:srgbClr val="C00000"/>
                </a:solidFill>
              </a:ln>
              <a:effectLst/>
            </c:spPr>
            <c:extLst>
              <c:ext xmlns:c16="http://schemas.microsoft.com/office/drawing/2014/chart" uri="{C3380CC4-5D6E-409C-BE32-E72D297353CC}">
                <c16:uniqueId val="{0000000B-CD25-0442-82BD-F407080C5710}"/>
              </c:ext>
            </c:extLst>
          </c:dPt>
          <c:cat>
            <c:strRef>
              <c:f>'Mexico data'!$X$44:$AA$44</c:f>
              <c:strCache>
                <c:ptCount val="4"/>
                <c:pt idx="0">
                  <c:v>DMC_u 2015</c:v>
                </c:pt>
                <c:pt idx="1">
                  <c:v>DMC_u 2050 (p)</c:v>
                </c:pt>
                <c:pt idx="2">
                  <c:v>DMC_u 2050 (average)</c:v>
                </c:pt>
                <c:pt idx="3">
                  <c:v>DMC_u 2050 (p+$)</c:v>
                </c:pt>
              </c:strCache>
            </c:strRef>
          </c:cat>
          <c:val>
            <c:numRef>
              <c:f>'Mexico data'!$X$46:$AA$46</c:f>
              <c:numCache>
                <c:formatCode>General</c:formatCode>
                <c:ptCount val="4"/>
                <c:pt idx="0">
                  <c:v>147.84986786915732</c:v>
                </c:pt>
                <c:pt idx="1">
                  <c:v>214.65230451668634</c:v>
                </c:pt>
                <c:pt idx="2">
                  <c:v>270.76694529204485</c:v>
                </c:pt>
                <c:pt idx="3">
                  <c:v>326.88158606740336</c:v>
                </c:pt>
              </c:numCache>
            </c:numRef>
          </c:val>
          <c:extLst>
            <c:ext xmlns:c16="http://schemas.microsoft.com/office/drawing/2014/chart" uri="{C3380CC4-5D6E-409C-BE32-E72D297353CC}">
              <c16:uniqueId val="{00000001-CD25-0442-82BD-F407080C5710}"/>
            </c:ext>
          </c:extLst>
        </c:ser>
        <c:ser>
          <c:idx val="2"/>
          <c:order val="2"/>
          <c:tx>
            <c:strRef>
              <c:f>'Mexico data'!$W$47</c:f>
              <c:strCache>
                <c:ptCount val="1"/>
                <c:pt idx="0">
                  <c:v>Metal ores</c:v>
                </c:pt>
              </c:strCache>
            </c:strRef>
          </c:tx>
          <c:spPr>
            <a:pattFill prst="ltHorz">
              <a:fgClr>
                <a:schemeClr val="bg1">
                  <a:lumMod val="75000"/>
                </a:schemeClr>
              </a:fgClr>
              <a:bgClr>
                <a:schemeClr val="bg1"/>
              </a:bgClr>
            </a:pattFill>
            <a:ln>
              <a:solidFill>
                <a:schemeClr val="bg1">
                  <a:lumMod val="65000"/>
                </a:schemeClr>
              </a:solidFill>
            </a:ln>
            <a:effectLst/>
          </c:spPr>
          <c:invertIfNegative val="0"/>
          <c:dPt>
            <c:idx val="0"/>
            <c:invertIfNegative val="0"/>
            <c:bubble3D val="0"/>
            <c:spPr>
              <a:pattFill prst="ltHorz">
                <a:fgClr>
                  <a:schemeClr val="accent1"/>
                </a:fgClr>
                <a:bgClr>
                  <a:schemeClr val="bg1"/>
                </a:bgClr>
              </a:pattFill>
              <a:ln>
                <a:solidFill>
                  <a:schemeClr val="accent1"/>
                </a:solidFill>
              </a:ln>
              <a:effectLst/>
            </c:spPr>
            <c:extLst>
              <c:ext xmlns:c16="http://schemas.microsoft.com/office/drawing/2014/chart" uri="{C3380CC4-5D6E-409C-BE32-E72D297353CC}">
                <c16:uniqueId val="{00000006-CD25-0442-82BD-F407080C5710}"/>
              </c:ext>
            </c:extLst>
          </c:dPt>
          <c:dPt>
            <c:idx val="2"/>
            <c:invertIfNegative val="0"/>
            <c:bubble3D val="0"/>
            <c:spPr>
              <a:pattFill prst="ltHorz">
                <a:fgClr>
                  <a:srgbClr val="C00000"/>
                </a:fgClr>
                <a:bgClr>
                  <a:schemeClr val="bg1"/>
                </a:bgClr>
              </a:pattFill>
              <a:ln>
                <a:solidFill>
                  <a:srgbClr val="C00000"/>
                </a:solidFill>
              </a:ln>
              <a:effectLst/>
            </c:spPr>
            <c:extLst>
              <c:ext xmlns:c16="http://schemas.microsoft.com/office/drawing/2014/chart" uri="{C3380CC4-5D6E-409C-BE32-E72D297353CC}">
                <c16:uniqueId val="{0000000A-CD25-0442-82BD-F407080C5710}"/>
              </c:ext>
            </c:extLst>
          </c:dPt>
          <c:cat>
            <c:strRef>
              <c:f>'Mexico data'!$X$44:$AA$44</c:f>
              <c:strCache>
                <c:ptCount val="4"/>
                <c:pt idx="0">
                  <c:v>DMC_u 2015</c:v>
                </c:pt>
                <c:pt idx="1">
                  <c:v>DMC_u 2050 (p)</c:v>
                </c:pt>
                <c:pt idx="2">
                  <c:v>DMC_u 2050 (average)</c:v>
                </c:pt>
                <c:pt idx="3">
                  <c:v>DMC_u 2050 (p+$)</c:v>
                </c:pt>
              </c:strCache>
            </c:strRef>
          </c:cat>
          <c:val>
            <c:numRef>
              <c:f>'Mexico data'!$X$47:$AA$47</c:f>
              <c:numCache>
                <c:formatCode>General</c:formatCode>
                <c:ptCount val="4"/>
                <c:pt idx="0">
                  <c:v>269.39708257165597</c:v>
                </c:pt>
                <c:pt idx="1">
                  <c:v>391.11772933914887</c:v>
                </c:pt>
                <c:pt idx="2">
                  <c:v>493.36415493498549</c:v>
                </c:pt>
                <c:pt idx="3">
                  <c:v>595.61058053082206</c:v>
                </c:pt>
              </c:numCache>
            </c:numRef>
          </c:val>
          <c:extLst>
            <c:ext xmlns:c16="http://schemas.microsoft.com/office/drawing/2014/chart" uri="{C3380CC4-5D6E-409C-BE32-E72D297353CC}">
              <c16:uniqueId val="{00000002-CD25-0442-82BD-F407080C5710}"/>
            </c:ext>
          </c:extLst>
        </c:ser>
        <c:ser>
          <c:idx val="3"/>
          <c:order val="3"/>
          <c:tx>
            <c:strRef>
              <c:f>'Mexico data'!$W$48</c:f>
              <c:strCache>
                <c:ptCount val="1"/>
                <c:pt idx="0">
                  <c:v>Non-metallic minerals</c:v>
                </c:pt>
              </c:strCache>
            </c:strRef>
          </c:tx>
          <c:spPr>
            <a:pattFill prst="dashVert">
              <a:fgClr>
                <a:schemeClr val="bg1">
                  <a:lumMod val="75000"/>
                </a:schemeClr>
              </a:fgClr>
              <a:bgClr>
                <a:schemeClr val="bg1"/>
              </a:bgClr>
            </a:pattFill>
            <a:ln>
              <a:solidFill>
                <a:schemeClr val="bg1">
                  <a:lumMod val="65000"/>
                </a:schemeClr>
              </a:solidFill>
            </a:ln>
            <a:effectLst/>
          </c:spPr>
          <c:invertIfNegative val="0"/>
          <c:dPt>
            <c:idx val="0"/>
            <c:invertIfNegative val="0"/>
            <c:bubble3D val="0"/>
            <c:spPr>
              <a:pattFill prst="dashVert">
                <a:fgClr>
                  <a:schemeClr val="accent1"/>
                </a:fgClr>
                <a:bgClr>
                  <a:schemeClr val="bg1"/>
                </a:bgClr>
              </a:pattFill>
              <a:ln>
                <a:solidFill>
                  <a:schemeClr val="accent1"/>
                </a:solidFill>
              </a:ln>
              <a:effectLst/>
            </c:spPr>
            <c:extLst>
              <c:ext xmlns:c16="http://schemas.microsoft.com/office/drawing/2014/chart" uri="{C3380CC4-5D6E-409C-BE32-E72D297353CC}">
                <c16:uniqueId val="{00000005-CD25-0442-82BD-F407080C5710}"/>
              </c:ext>
            </c:extLst>
          </c:dPt>
          <c:dPt>
            <c:idx val="2"/>
            <c:invertIfNegative val="0"/>
            <c:bubble3D val="0"/>
            <c:spPr>
              <a:pattFill prst="dashVert">
                <a:fgClr>
                  <a:srgbClr val="C00000"/>
                </a:fgClr>
                <a:bgClr>
                  <a:schemeClr val="bg1"/>
                </a:bgClr>
              </a:pattFill>
              <a:ln>
                <a:solidFill>
                  <a:srgbClr val="C00000"/>
                </a:solidFill>
              </a:ln>
              <a:effectLst/>
            </c:spPr>
            <c:extLst>
              <c:ext xmlns:c16="http://schemas.microsoft.com/office/drawing/2014/chart" uri="{C3380CC4-5D6E-409C-BE32-E72D297353CC}">
                <c16:uniqueId val="{00000009-CD25-0442-82BD-F407080C5710}"/>
              </c:ext>
            </c:extLst>
          </c:dPt>
          <c:cat>
            <c:strRef>
              <c:f>'Mexico data'!$X$44:$AA$44</c:f>
              <c:strCache>
                <c:ptCount val="4"/>
                <c:pt idx="0">
                  <c:v>DMC_u 2015</c:v>
                </c:pt>
                <c:pt idx="1">
                  <c:v>DMC_u 2050 (p)</c:v>
                </c:pt>
                <c:pt idx="2">
                  <c:v>DMC_u 2050 (average)</c:v>
                </c:pt>
                <c:pt idx="3">
                  <c:v>DMC_u 2050 (p+$)</c:v>
                </c:pt>
              </c:strCache>
            </c:strRef>
          </c:cat>
          <c:val>
            <c:numRef>
              <c:f>'Mexico data'!$X$48:$AA$48</c:f>
              <c:numCache>
                <c:formatCode>General</c:formatCode>
                <c:ptCount val="4"/>
                <c:pt idx="0">
                  <c:v>313.13185106923567</c:v>
                </c:pt>
                <c:pt idx="1">
                  <c:v>454.61300992889653</c:v>
                </c:pt>
                <c:pt idx="2">
                  <c:v>573.45844138794439</c:v>
                </c:pt>
                <c:pt idx="3">
                  <c:v>692.30387284699225</c:v>
                </c:pt>
              </c:numCache>
            </c:numRef>
          </c:val>
          <c:extLst>
            <c:ext xmlns:c16="http://schemas.microsoft.com/office/drawing/2014/chart" uri="{C3380CC4-5D6E-409C-BE32-E72D297353CC}">
              <c16:uniqueId val="{00000003-CD25-0442-82BD-F407080C5710}"/>
            </c:ext>
          </c:extLst>
        </c:ser>
        <c:dLbls>
          <c:showLegendKey val="0"/>
          <c:showVal val="0"/>
          <c:showCatName val="0"/>
          <c:showSerName val="0"/>
          <c:showPercent val="0"/>
          <c:showBubbleSize val="0"/>
        </c:dLbls>
        <c:gapWidth val="150"/>
        <c:overlap val="100"/>
        <c:axId val="2102949343"/>
        <c:axId val="2102950975"/>
      </c:barChart>
      <c:catAx>
        <c:axId val="2102949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950975"/>
        <c:crosses val="autoZero"/>
        <c:auto val="1"/>
        <c:lblAlgn val="ctr"/>
        <c:lblOffset val="100"/>
        <c:noMultiLvlLbl val="0"/>
      </c:catAx>
      <c:valAx>
        <c:axId val="2102950975"/>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949343"/>
        <c:crosses val="autoZero"/>
        <c:crossBetween val="between"/>
        <c:dispUnits>
          <c:builtInUnit val="thousands"/>
        </c:dispUnits>
      </c:valAx>
      <c:spPr>
        <a:noFill/>
        <a:ln>
          <a:noFill/>
        </a:ln>
        <a:effectLst/>
      </c:spPr>
    </c:plotArea>
    <c:legend>
      <c:legendPos val="r"/>
      <c:layout>
        <c:manualLayout>
          <c:xMode val="edge"/>
          <c:yMode val="edge"/>
          <c:x val="0.10670559188576004"/>
          <c:y val="0.10093523444704547"/>
          <c:w val="0.15318141376395747"/>
          <c:h val="0.30803944101581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25</xdr:row>
      <xdr:rowOff>101600</xdr:rowOff>
    </xdr:from>
    <xdr:to>
      <xdr:col>20</xdr:col>
      <xdr:colOff>361951</xdr:colOff>
      <xdr:row>45</xdr:row>
      <xdr:rowOff>209550</xdr:rowOff>
    </xdr:to>
    <xdr:graphicFrame macro="">
      <xdr:nvGraphicFramePr>
        <xdr:cNvPr id="2" name="Chart 1">
          <a:extLst>
            <a:ext uri="{FF2B5EF4-FFF2-40B4-BE49-F238E27FC236}">
              <a16:creationId xmlns:a16="http://schemas.microsoft.com/office/drawing/2014/main" id="{801A72AF-4185-9047-A197-F9AC862D1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190500</xdr:colOff>
      <xdr:row>25</xdr:row>
      <xdr:rowOff>12700</xdr:rowOff>
    </xdr:from>
    <xdr:to>
      <xdr:col>29</xdr:col>
      <xdr:colOff>704851</xdr:colOff>
      <xdr:row>38</xdr:row>
      <xdr:rowOff>6350</xdr:rowOff>
    </xdr:to>
    <xdr:graphicFrame macro="">
      <xdr:nvGraphicFramePr>
        <xdr:cNvPr id="3" name="Chart 2">
          <a:extLst>
            <a:ext uri="{FF2B5EF4-FFF2-40B4-BE49-F238E27FC236}">
              <a16:creationId xmlns:a16="http://schemas.microsoft.com/office/drawing/2014/main" id="{4A956ADB-C197-9A40-9911-B33BB3F8C5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457200</xdr:colOff>
      <xdr:row>35</xdr:row>
      <xdr:rowOff>266700</xdr:rowOff>
    </xdr:from>
    <xdr:to>
      <xdr:col>44</xdr:col>
      <xdr:colOff>368300</xdr:colOff>
      <xdr:row>49</xdr:row>
      <xdr:rowOff>19050</xdr:rowOff>
    </xdr:to>
    <xdr:graphicFrame macro="">
      <xdr:nvGraphicFramePr>
        <xdr:cNvPr id="4" name="Chart 3">
          <a:extLst>
            <a:ext uri="{FF2B5EF4-FFF2-40B4-BE49-F238E27FC236}">
              <a16:creationId xmlns:a16="http://schemas.microsoft.com/office/drawing/2014/main" id="{34EDF0A4-7A4C-F84D-BE87-38A6A0BC14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Documents/Publicaciones/2020/Revista%20Pluralidad%20y%20Concenso/Poblacion%20-%20espacio%20construido%20MEX%202015%20-%2020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an/Documents/Publicaciones/2020/Revista%20Pluralidad%20y%20Concenso/Poblacion%20-%20espacio%20construido%20MEX%202015%20-%20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8">
          <cell r="W18" t="str">
            <v xml:space="preserve">CMD 2015 </v>
          </cell>
        </row>
        <row r="19">
          <cell r="W19">
            <v>1095.2</v>
          </cell>
          <cell r="X19">
            <v>1590.0420066292131</v>
          </cell>
          <cell r="Y19">
            <v>2421.38</v>
          </cell>
        </row>
        <row r="20">
          <cell r="W20">
            <v>142.51999999999998</v>
          </cell>
          <cell r="X20">
            <v>105.85677259950516</v>
          </cell>
          <cell r="Y20">
            <v>198.86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ransformacionurbana.mx/es/proyectos/interfaz_cp/diagnostico-zmvm/diagnostico-metropolitano/" TargetMode="External"/><Relationship Id="rId13" Type="http://schemas.openxmlformats.org/officeDocument/2006/relationships/hyperlink" Target="https://www.inegi.org.mx/app/indicadores/" TargetMode="External"/><Relationship Id="rId18" Type="http://schemas.openxmlformats.org/officeDocument/2006/relationships/hyperlink" Target="https://potcorporativo.cfe.mx/XXX%20Estadsticas%20generadas/Bases%20de%20datos%20respectivas/DCO/2019/2019_UsuariosyConsumoporMunicipio_Ene.zip" TargetMode="External"/><Relationship Id="rId26" Type="http://schemas.openxmlformats.org/officeDocument/2006/relationships/hyperlink" Target="https://drive.google.com/file/d/1CB9XhVtwyGckNUFnCindPPTGO4mYwTi9/view?usp=sharing" TargetMode="External"/><Relationship Id="rId3" Type="http://schemas.openxmlformats.org/officeDocument/2006/relationships/hyperlink" Target="https://igecem.edomex.gob.mx/sites/igecem.edomex.gob.mx/files/files/ArchivosPDF/Productos-Estadisticos/Indole-Social/EBM/Estadistica_Basica_Municipal_del_Estado_de_Mexico_2018_3raParte.zip" TargetMode="External"/><Relationship Id="rId21" Type="http://schemas.openxmlformats.org/officeDocument/2006/relationships/hyperlink" Target="http://sie.energia.gob.mx/bdiController.do?action=cuadro&amp;subAction=applyOptions" TargetMode="External"/><Relationship Id="rId7" Type="http://schemas.openxmlformats.org/officeDocument/2006/relationships/hyperlink" Target="https://www.inegi.org.mx/programas/ce/2019/" TargetMode="External"/><Relationship Id="rId12" Type="http://schemas.openxmlformats.org/officeDocument/2006/relationships/hyperlink" Target="https://www.inegi.org.mx/app/indicadores/" TargetMode="External"/><Relationship Id="rId17" Type="http://schemas.openxmlformats.org/officeDocument/2006/relationships/hyperlink" Target="https://www.inegi.org.mx/app/indicadores/" TargetMode="External"/><Relationship Id="rId25" Type="http://schemas.openxmlformats.org/officeDocument/2006/relationships/hyperlink" Target="https://transformacionurbana.mx/es/proyectos/interfaz_cp/diagnostico-zmvm/diagnostico-metropolitano/" TargetMode="External"/><Relationship Id="rId2" Type="http://schemas.openxmlformats.org/officeDocument/2006/relationships/hyperlink" Target="https://igecem.edomex.gob.mx/sites/igecem.edomex.gob.mx/files/files/ArchivosPDF/Productos-Estadisticos/Indole-Social/EBM/Estadistica_Basica_Municipal_del_Estado_de_Mexico_2018_3raParte.zip" TargetMode="External"/><Relationship Id="rId16" Type="http://schemas.openxmlformats.org/officeDocument/2006/relationships/hyperlink" Target="https://www.inegi.org.mx/app/indicadores/" TargetMode="External"/><Relationship Id="rId20" Type="http://schemas.openxmlformats.org/officeDocument/2006/relationships/hyperlink" Target="http://sie.energia.gob.mx/bdiController.do?action=cuadro&amp;subAction=applyOptions" TargetMode="External"/><Relationship Id="rId29" Type="http://schemas.openxmlformats.org/officeDocument/2006/relationships/hyperlink" Target="https://datos.covid-19.conacyt.mx/" TargetMode="External"/><Relationship Id="rId1" Type="http://schemas.openxmlformats.org/officeDocument/2006/relationships/hyperlink" Target="https://www.inegi.org.mx/contenidos/programas/intercensal/2015/tabulados/01_poblacion_mex.xls" TargetMode="External"/><Relationship Id="rId6" Type="http://schemas.openxmlformats.org/officeDocument/2006/relationships/hyperlink" Target="http://www.conapo.gob.mx/work/models/CONAPO/zonas_metropolitanas2000/completo.pdf" TargetMode="External"/><Relationship Id="rId11" Type="http://schemas.openxmlformats.org/officeDocument/2006/relationships/hyperlink" Target="https://www.inegi.org.mx/app/indicadores/" TargetMode="External"/><Relationship Id="rId24" Type="http://schemas.openxmlformats.org/officeDocument/2006/relationships/hyperlink" Target="https://transformacionurbana.mx/es/proyectos/interfaz_cp/diagnostico-zmvm/diagnostico-metropolitano/" TargetMode="External"/><Relationship Id="rId5" Type="http://schemas.openxmlformats.org/officeDocument/2006/relationships/hyperlink" Target="http://www.conapo.gob.mx/work/models/CONAPO/Resource/1206/2/images/Proyecciones_de_Poblacion_ZM.xlsx" TargetMode="External"/><Relationship Id="rId15" Type="http://schemas.openxmlformats.org/officeDocument/2006/relationships/hyperlink" Target="https://potcorporativo.cfe.mx/XXX%20Estadsticas%20generadas/Bases%20de%20datos%20respectivas/DCO/2019/2019_UsuariosyConsumoporMunicipio_Ene.zip" TargetMode="External"/><Relationship Id="rId23" Type="http://schemas.openxmlformats.org/officeDocument/2006/relationships/hyperlink" Target="https://www.sedema.cdmx.gob.mx/storage/app/media/rdar-2015publicacionnueva-portada.pdf" TargetMode="External"/><Relationship Id="rId28" Type="http://schemas.openxmlformats.org/officeDocument/2006/relationships/hyperlink" Target="http://www.aire.cdmx.gob.mx/descargas/publicaciones/flippingbook/inventario-emisiones-2016/mobile/" TargetMode="External"/><Relationship Id="rId10" Type="http://schemas.openxmlformats.org/officeDocument/2006/relationships/hyperlink" Target="https://www.inegi.org.mx/app/indicadores/" TargetMode="External"/><Relationship Id="rId19" Type="http://schemas.openxmlformats.org/officeDocument/2006/relationships/hyperlink" Target="https://potcorporativo.cfe.mx/XXX%20Estadsticas%20generadas/Bases%20de%20datos%20respectivas/DCO/2019/2019_UsuariosyConsumoporMunicipio_Ene.zip" TargetMode="External"/><Relationship Id="rId4" Type="http://schemas.openxmlformats.org/officeDocument/2006/relationships/hyperlink" Target="https://www.coneval.org.mx/Medicion/Documents/Pobreza_municipal/Concentrado_indicadores_de_pobreza.zip" TargetMode="External"/><Relationship Id="rId9" Type="http://schemas.openxmlformats.org/officeDocument/2006/relationships/hyperlink" Target="https://transformacionurbana.mx/es/proyectos/interfaz_cp/diagnostico-zmvm/diagnostico-metropolitano/" TargetMode="External"/><Relationship Id="rId14" Type="http://schemas.openxmlformats.org/officeDocument/2006/relationships/hyperlink" Target="https://www.inegi.org.mx/app/indicadores/" TargetMode="External"/><Relationship Id="rId22" Type="http://schemas.openxmlformats.org/officeDocument/2006/relationships/hyperlink" Target="http://sie.energia.gob.mx/bdiController.do?action=cuadro&amp;subAction=applyOptions" TargetMode="External"/><Relationship Id="rId27" Type="http://schemas.openxmlformats.org/officeDocument/2006/relationships/hyperlink" Target="https://drive.google.com/file/d/1CB9XhVtwyGckNUFnCindPPTGO4mYwTi9/view?usp=sharing" TargetMode="External"/><Relationship Id="rId30" Type="http://schemas.openxmlformats.org/officeDocument/2006/relationships/hyperlink" Target="https://datos.covid-19.conacyt.m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
  <sheetViews>
    <sheetView tabSelected="1" workbookViewId="0">
      <selection activeCell="J13" sqref="J13"/>
    </sheetView>
  </sheetViews>
  <sheetFormatPr defaultColWidth="11" defaultRowHeight="15.75"/>
  <sheetData>
    <row r="4" spans="2:10" ht="16.5" thickBot="1">
      <c r="B4" t="s">
        <v>413</v>
      </c>
    </row>
    <row r="5" spans="2:10">
      <c r="B5" s="312" t="s">
        <v>414</v>
      </c>
      <c r="C5" s="313"/>
      <c r="D5" s="313"/>
      <c r="E5" s="313"/>
      <c r="F5" s="313"/>
      <c r="G5" s="313"/>
      <c r="H5" s="313"/>
      <c r="I5" s="313"/>
      <c r="J5" s="314"/>
    </row>
    <row r="6" spans="2:10" ht="30.95" customHeight="1" thickBot="1">
      <c r="B6" s="315"/>
      <c r="C6" s="316"/>
      <c r="D6" s="316"/>
      <c r="E6" s="316"/>
      <c r="F6" s="316"/>
      <c r="G6" s="316"/>
      <c r="H6" s="316"/>
      <c r="I6" s="316"/>
      <c r="J6" s="317"/>
    </row>
  </sheetData>
  <mergeCells count="1">
    <mergeCell ref="B5: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3"/>
  <sheetViews>
    <sheetView zoomScaleNormal="100" workbookViewId="0">
      <selection activeCell="P144" sqref="P144"/>
    </sheetView>
  </sheetViews>
  <sheetFormatPr defaultColWidth="11" defaultRowHeight="15.75"/>
  <cols>
    <col min="1" max="1" width="25.5" customWidth="1"/>
    <col min="2" max="2" width="17" customWidth="1"/>
    <col min="3" max="3" width="18.125" customWidth="1"/>
    <col min="4" max="4" width="17.625" customWidth="1"/>
    <col min="5" max="5" width="19.625" customWidth="1"/>
    <col min="6" max="6" width="13.375" customWidth="1"/>
    <col min="7" max="7" width="16.625" customWidth="1"/>
    <col min="8" max="8" width="15" customWidth="1"/>
    <col min="9" max="9" width="17.625" bestFit="1" customWidth="1"/>
    <col min="10" max="10" width="13" customWidth="1"/>
    <col min="11" max="11" width="12.625" customWidth="1"/>
    <col min="12" max="12" width="13" customWidth="1"/>
    <col min="13" max="13" width="11.125" customWidth="1"/>
    <col min="14" max="14" width="11.125" bestFit="1" customWidth="1"/>
    <col min="15" max="15" width="13.125" bestFit="1" customWidth="1"/>
    <col min="16" max="16" width="13.375" customWidth="1"/>
    <col min="17" max="17" width="11.125" bestFit="1" customWidth="1"/>
    <col min="18" max="18" width="13" customWidth="1"/>
    <col min="19" max="19" width="14.125" customWidth="1"/>
    <col min="20" max="20" width="13.875" customWidth="1"/>
    <col min="21" max="23" width="11.125" bestFit="1" customWidth="1"/>
    <col min="24" max="24" width="13.125" bestFit="1" customWidth="1"/>
    <col min="25" max="25" width="14" customWidth="1"/>
    <col min="26" max="27" width="16.875" bestFit="1" customWidth="1"/>
    <col min="28" max="28" width="18.375" customWidth="1"/>
    <col min="29" max="29" width="17.875" bestFit="1" customWidth="1"/>
    <col min="30" max="30" width="19.5" customWidth="1"/>
    <col min="31" max="32" width="18.875" customWidth="1"/>
    <col min="33" max="33" width="14.875" customWidth="1"/>
    <col min="34" max="34" width="14.125" bestFit="1" customWidth="1"/>
    <col min="35" max="35" width="15.5" customWidth="1"/>
    <col min="36" max="39" width="16.125" customWidth="1"/>
    <col min="40" max="40" width="11.125" bestFit="1" customWidth="1"/>
    <col min="41" max="41" width="15.875" customWidth="1"/>
    <col min="42" max="42" width="11.125" bestFit="1" customWidth="1"/>
    <col min="43" max="43" width="14.375" customWidth="1"/>
    <col min="44" max="44" width="13.625" customWidth="1"/>
    <col min="45" max="45" width="16.5" customWidth="1"/>
    <col min="46" max="46" width="19.375" customWidth="1"/>
    <col min="47" max="47" width="18.875" customWidth="1"/>
    <col min="48" max="48" width="13.5" bestFit="1" customWidth="1"/>
    <col min="50" max="50" width="13.125" customWidth="1"/>
    <col min="51" max="51" width="14.5" customWidth="1"/>
    <col min="52" max="53" width="15.375" customWidth="1"/>
    <col min="54" max="54" width="15.625" customWidth="1"/>
    <col min="55" max="55" width="11.625" bestFit="1" customWidth="1"/>
  </cols>
  <sheetData>
    <row r="1" spans="1:55" ht="29.1" customHeight="1" thickBot="1">
      <c r="A1" s="370" t="s">
        <v>0</v>
      </c>
      <c r="B1" s="371" t="s">
        <v>87</v>
      </c>
      <c r="C1" s="344" t="s">
        <v>169</v>
      </c>
      <c r="D1" s="372" t="s">
        <v>88</v>
      </c>
      <c r="E1" s="373"/>
      <c r="F1" s="373"/>
      <c r="G1" s="374"/>
      <c r="H1" s="344" t="s">
        <v>92</v>
      </c>
      <c r="I1" s="6"/>
      <c r="J1" s="359" t="s">
        <v>117</v>
      </c>
      <c r="K1" s="359"/>
      <c r="L1" s="359"/>
      <c r="M1" s="359"/>
      <c r="N1" s="344" t="s">
        <v>95</v>
      </c>
      <c r="O1" s="344" t="s">
        <v>132</v>
      </c>
      <c r="P1" s="344" t="s">
        <v>164</v>
      </c>
      <c r="Q1" s="369" t="s">
        <v>160</v>
      </c>
      <c r="R1" s="344" t="s">
        <v>96</v>
      </c>
      <c r="S1" s="344" t="s">
        <v>97</v>
      </c>
      <c r="T1" s="344" t="s">
        <v>98</v>
      </c>
      <c r="U1" s="344" t="s">
        <v>177</v>
      </c>
      <c r="V1" s="360" t="s">
        <v>1</v>
      </c>
      <c r="W1" s="361"/>
      <c r="X1" s="362"/>
      <c r="Y1" s="363" t="s">
        <v>102</v>
      </c>
      <c r="Z1" s="363"/>
      <c r="AA1" s="359" t="s">
        <v>105</v>
      </c>
      <c r="AB1" s="359"/>
      <c r="AC1" s="344" t="s">
        <v>104</v>
      </c>
      <c r="AD1" s="364" t="s">
        <v>108</v>
      </c>
      <c r="AE1" s="365"/>
      <c r="AF1" s="366"/>
      <c r="AG1" s="367" t="s">
        <v>113</v>
      </c>
      <c r="AH1" s="344" t="s">
        <v>112</v>
      </c>
      <c r="AI1" s="344" t="s">
        <v>125</v>
      </c>
      <c r="AJ1" s="344" t="s">
        <v>124</v>
      </c>
      <c r="AK1" s="344" t="s">
        <v>126</v>
      </c>
      <c r="AL1" s="344" t="s">
        <v>127</v>
      </c>
      <c r="AM1" s="344" t="s">
        <v>128</v>
      </c>
      <c r="AN1" s="344" t="s">
        <v>129</v>
      </c>
      <c r="AO1" s="344" t="s">
        <v>118</v>
      </c>
      <c r="AP1" s="344" t="s">
        <v>123</v>
      </c>
      <c r="AQ1" s="344" t="s">
        <v>131</v>
      </c>
      <c r="AR1" s="344" t="s">
        <v>197</v>
      </c>
      <c r="AS1" s="344" t="s">
        <v>198</v>
      </c>
      <c r="AT1" s="344" t="s">
        <v>199</v>
      </c>
      <c r="AU1" s="25"/>
      <c r="AV1" s="344" t="s">
        <v>250</v>
      </c>
      <c r="AW1" s="344" t="s">
        <v>249</v>
      </c>
      <c r="AX1" s="344" t="s">
        <v>115</v>
      </c>
      <c r="AY1" s="344" t="s">
        <v>116</v>
      </c>
      <c r="AZ1" s="346" t="s">
        <v>253</v>
      </c>
      <c r="BA1" s="348" t="s">
        <v>257</v>
      </c>
      <c r="BB1" s="347" t="s">
        <v>256</v>
      </c>
      <c r="BC1" s="340" t="s">
        <v>258</v>
      </c>
    </row>
    <row r="2" spans="1:55" ht="117" customHeight="1" thickBot="1">
      <c r="A2" s="370"/>
      <c r="B2" s="371"/>
      <c r="C2" s="345"/>
      <c r="D2" s="8" t="s">
        <v>2</v>
      </c>
      <c r="E2" s="7" t="s">
        <v>89</v>
      </c>
      <c r="F2" s="7" t="s">
        <v>90</v>
      </c>
      <c r="G2" s="7" t="s">
        <v>91</v>
      </c>
      <c r="H2" s="345"/>
      <c r="I2" s="9" t="s">
        <v>94</v>
      </c>
      <c r="J2" s="9">
        <v>2000</v>
      </c>
      <c r="K2" s="26">
        <v>2015</v>
      </c>
      <c r="L2" s="9">
        <v>2030</v>
      </c>
      <c r="M2" s="9">
        <v>2050</v>
      </c>
      <c r="N2" s="345"/>
      <c r="O2" s="345"/>
      <c r="P2" s="345"/>
      <c r="Q2" s="345"/>
      <c r="R2" s="345"/>
      <c r="S2" s="345"/>
      <c r="T2" s="345"/>
      <c r="U2" s="345"/>
      <c r="V2" s="7" t="s">
        <v>99</v>
      </c>
      <c r="W2" s="7" t="s">
        <v>100</v>
      </c>
      <c r="X2" s="7" t="s">
        <v>101</v>
      </c>
      <c r="Y2" s="8">
        <v>2018</v>
      </c>
      <c r="Z2" s="7" t="s">
        <v>103</v>
      </c>
      <c r="AA2" s="7" t="s">
        <v>106</v>
      </c>
      <c r="AB2" s="7" t="s">
        <v>107</v>
      </c>
      <c r="AC2" s="345"/>
      <c r="AD2" s="7" t="s">
        <v>109</v>
      </c>
      <c r="AE2" s="27" t="s">
        <v>110</v>
      </c>
      <c r="AF2" s="28" t="s">
        <v>111</v>
      </c>
      <c r="AG2" s="368"/>
      <c r="AH2" s="345"/>
      <c r="AI2" s="345"/>
      <c r="AJ2" s="345"/>
      <c r="AK2" s="345"/>
      <c r="AL2" s="345"/>
      <c r="AM2" s="345"/>
      <c r="AN2" s="345"/>
      <c r="AO2" s="345"/>
      <c r="AP2" s="345"/>
      <c r="AQ2" s="345"/>
      <c r="AR2" s="345"/>
      <c r="AS2" s="345"/>
      <c r="AT2" s="345"/>
      <c r="AU2" s="9" t="s">
        <v>251</v>
      </c>
      <c r="AV2" s="345"/>
      <c r="AW2" s="345"/>
      <c r="AX2" s="345"/>
      <c r="AY2" s="345"/>
      <c r="AZ2" s="346"/>
      <c r="BA2" s="349"/>
      <c r="BB2" s="347"/>
      <c r="BC2" s="341"/>
    </row>
    <row r="3" spans="1:55">
      <c r="A3" s="10">
        <v>9002</v>
      </c>
      <c r="B3" s="10" t="s">
        <v>3</v>
      </c>
      <c r="C3" s="10">
        <v>33.299999999999997</v>
      </c>
      <c r="D3" s="11">
        <v>400161</v>
      </c>
      <c r="E3" s="11">
        <v>400161</v>
      </c>
      <c r="F3" s="12">
        <v>0</v>
      </c>
      <c r="G3" s="12">
        <v>0</v>
      </c>
      <c r="H3" s="11">
        <v>376228.00555213873</v>
      </c>
      <c r="I3" s="11">
        <f>7691357*((H3*100)/SUM($H$3:$H$18))/100</f>
        <v>342864.58824994095</v>
      </c>
      <c r="J3" s="13">
        <v>205.4</v>
      </c>
      <c r="K3" s="13">
        <v>189</v>
      </c>
      <c r="L3" s="13">
        <f>((K3*100)/D3)/100*H3</f>
        <v>177.69620989890123</v>
      </c>
      <c r="M3" s="13">
        <f t="shared" ref="M3:M34" si="0">((L3*100)/H3)/100*I3</f>
        <v>161.93833776714581</v>
      </c>
      <c r="N3" s="13">
        <v>3571</v>
      </c>
      <c r="O3" s="13">
        <f t="shared" ref="O3:O34" si="1">(((N3*C3)/D3)*I3)/C3</f>
        <v>3059.692085536919</v>
      </c>
      <c r="P3" s="14">
        <v>204889.95600000001</v>
      </c>
      <c r="Q3" s="14">
        <f t="shared" ref="Q3:Q34" si="2">P3/D3</f>
        <v>0.51201880243202114</v>
      </c>
      <c r="R3" s="15">
        <f t="shared" ref="R3:R34" si="3">P3/C3</f>
        <v>6152.8515315315326</v>
      </c>
      <c r="S3" s="23">
        <v>22.9</v>
      </c>
      <c r="T3" s="23">
        <v>4.3</v>
      </c>
      <c r="U3" s="16">
        <v>38.5</v>
      </c>
      <c r="V3" s="17">
        <v>84.1</v>
      </c>
      <c r="W3" s="17">
        <v>19.100000000000001</v>
      </c>
      <c r="X3" s="17">
        <v>6.8</v>
      </c>
      <c r="Y3" s="13">
        <v>311310</v>
      </c>
      <c r="Z3" s="13">
        <v>0.77</v>
      </c>
      <c r="AA3" s="18">
        <v>825675907</v>
      </c>
      <c r="AB3" s="18">
        <f t="shared" ref="AB3:AB34" si="4">((AC3*0.0000000036)*1000000000)*D3</f>
        <v>2972433265.2000003</v>
      </c>
      <c r="AC3" s="18">
        <f t="shared" ref="AC3:AC34" si="5">AA3/D3</f>
        <v>2063.3592653956784</v>
      </c>
      <c r="AD3" s="13">
        <f t="shared" ref="AD3:AD34" si="6">19652.568936*Y3</f>
        <v>6118041235.4661598</v>
      </c>
      <c r="AE3" s="13">
        <f t="shared" ref="AE3:AE34" si="7">4377.374263*Y3</f>
        <v>1362720381.8145299</v>
      </c>
      <c r="AF3" s="19">
        <f>SUM(AD3:AE3)</f>
        <v>7480761617.2806892</v>
      </c>
      <c r="AG3" s="29" t="s">
        <v>114</v>
      </c>
      <c r="AH3" s="29" t="s">
        <v>114</v>
      </c>
      <c r="AI3" s="13">
        <f t="shared" ref="AI3:AI34" si="8">( 10.97262253*E3)+(8.218893262742*F3)+(5.465163995*G3)</f>
        <v>4390815.6042273305</v>
      </c>
      <c r="AJ3" s="36">
        <f t="shared" ref="AJ3:AJ34" si="9">AI3/D3</f>
        <v>10.972622530000001</v>
      </c>
      <c r="AK3" s="13">
        <f t="shared" ref="AK3:AK34" si="10">AJ3*I3</f>
        <v>3762123.7057704753</v>
      </c>
      <c r="AL3" s="13">
        <f t="shared" ref="AL3:AL34" si="11">(AJ3*I3)+(AJ3*I3)*$AL$129</f>
        <v>7067692.1471874015</v>
      </c>
      <c r="AM3" s="13">
        <f>(AL3+AK3)/2</f>
        <v>5414907.9264789382</v>
      </c>
      <c r="AN3" s="36">
        <f t="shared" ref="AN3:AN34" si="12">AM3/I3</f>
        <v>15.793138492714757</v>
      </c>
      <c r="AO3" s="13">
        <f t="shared" ref="AO3:AO34" si="13">((AL3*100)/AI3)-100</f>
        <v>60.965360066199622</v>
      </c>
      <c r="AP3" s="13">
        <f t="shared" ref="AP3:AP34" si="14">AI3/N3</f>
        <v>1229.5759182938477</v>
      </c>
      <c r="AQ3" s="13">
        <f>AM3/O3</f>
        <v>1769.7558365676925</v>
      </c>
      <c r="AR3" s="20">
        <v>73.459999999999994</v>
      </c>
      <c r="AS3" s="20">
        <f t="shared" ref="AS3:AS18" si="15">2.46730868*D3</f>
        <v>987320.70869747992</v>
      </c>
      <c r="AT3" s="20">
        <f t="shared" ref="AT3:AT18" si="16">((E3*2.4742511)+(F3*1.8556883)+(G3*1.2371255))</f>
        <v>990098.79442709999</v>
      </c>
      <c r="AU3" s="20">
        <f>((AT3/D3)*1000)/365</f>
        <v>6.7787701369863012</v>
      </c>
      <c r="AV3" s="20">
        <v>517</v>
      </c>
      <c r="AW3" s="20">
        <f>(AV3*1000)/D3</f>
        <v>1.2919799780588312</v>
      </c>
      <c r="AX3" s="14" t="s">
        <v>4</v>
      </c>
      <c r="AY3" s="21">
        <v>2.1800000000000002</v>
      </c>
      <c r="AZ3" s="126">
        <v>10784</v>
      </c>
      <c r="BA3" s="125">
        <f>AZ3/D3</f>
        <v>2.6949152965931214E-2</v>
      </c>
      <c r="BB3" s="126">
        <v>942</v>
      </c>
      <c r="BC3" s="127">
        <f>BB3/D3</f>
        <v>2.3540524938712166E-3</v>
      </c>
    </row>
    <row r="4" spans="1:55">
      <c r="A4" s="10">
        <v>9003</v>
      </c>
      <c r="B4" s="10" t="s">
        <v>5</v>
      </c>
      <c r="C4" s="10">
        <v>54</v>
      </c>
      <c r="D4" s="11">
        <v>608479</v>
      </c>
      <c r="E4" s="11">
        <f t="shared" ref="E4:E11" si="17">D4-F4-G4</f>
        <v>608479</v>
      </c>
      <c r="F4" s="11">
        <v>0</v>
      </c>
      <c r="G4" s="11">
        <v>0</v>
      </c>
      <c r="H4" s="11">
        <v>563975.55007234914</v>
      </c>
      <c r="I4" s="11">
        <f t="shared" ref="I4:I18" si="18">7691357*((H4*100)/SUM($H$3:$H$18))/100</f>
        <v>513962.92116747418</v>
      </c>
      <c r="J4" s="13">
        <v>194.3</v>
      </c>
      <c r="K4" s="13">
        <v>194.4</v>
      </c>
      <c r="L4" s="13">
        <f t="shared" ref="L4:L67" si="19">((K4*100)/D4)/100*H4</f>
        <v>180.18180895982385</v>
      </c>
      <c r="M4" s="13">
        <f t="shared" si="0"/>
        <v>164.20351708926188</v>
      </c>
      <c r="N4" s="13">
        <v>3449</v>
      </c>
      <c r="O4" s="13">
        <f t="shared" si="1"/>
        <v>2913.2609590579436</v>
      </c>
      <c r="P4" s="14">
        <v>160059.07</v>
      </c>
      <c r="Q4" s="14">
        <f t="shared" si="2"/>
        <v>0.26304781266074917</v>
      </c>
      <c r="R4" s="15">
        <f t="shared" si="3"/>
        <v>2964.0568518518521</v>
      </c>
      <c r="S4" s="23">
        <v>26.9</v>
      </c>
      <c r="T4" s="23">
        <v>3.5</v>
      </c>
      <c r="U4" s="16">
        <v>29.9</v>
      </c>
      <c r="V4" s="17">
        <v>77.8</v>
      </c>
      <c r="W4" s="17">
        <v>19.3</v>
      </c>
      <c r="X4" s="17">
        <v>13.2</v>
      </c>
      <c r="Y4" s="13">
        <v>498273</v>
      </c>
      <c r="Z4" s="13">
        <v>0.81</v>
      </c>
      <c r="AA4" s="18">
        <v>1041571592</v>
      </c>
      <c r="AB4" s="18">
        <f t="shared" si="4"/>
        <v>3749657731.2000003</v>
      </c>
      <c r="AC4" s="18">
        <f t="shared" si="5"/>
        <v>1711.7625949293238</v>
      </c>
      <c r="AD4" s="13">
        <f t="shared" si="6"/>
        <v>9792344481.4475269</v>
      </c>
      <c r="AE4" s="13">
        <f t="shared" si="7"/>
        <v>2181127406.147799</v>
      </c>
      <c r="AF4" s="13">
        <f>SUM(AD4:AE4)</f>
        <v>11973471887.595325</v>
      </c>
      <c r="AG4" s="30" t="s">
        <v>114</v>
      </c>
      <c r="AH4" s="29" t="s">
        <v>114</v>
      </c>
      <c r="AI4" s="13">
        <f t="shared" si="8"/>
        <v>6676610.3844318707</v>
      </c>
      <c r="AJ4" s="36">
        <f t="shared" si="9"/>
        <v>10.972622530000001</v>
      </c>
      <c r="AK4" s="13">
        <f t="shared" si="10"/>
        <v>5639521.1283868412</v>
      </c>
      <c r="AL4" s="13">
        <f t="shared" si="11"/>
        <v>10594654.059849473</v>
      </c>
      <c r="AM4" s="13">
        <f t="shared" ref="AM4:AM67" si="20">(AL4+AK4)/2</f>
        <v>8117087.5941181574</v>
      </c>
      <c r="AN4" s="36">
        <f t="shared" si="12"/>
        <v>15.793138492714759</v>
      </c>
      <c r="AO4" s="13">
        <f t="shared" si="13"/>
        <v>58.68312586508668</v>
      </c>
      <c r="AP4" s="13">
        <f t="shared" si="14"/>
        <v>1935.8104912820731</v>
      </c>
      <c r="AQ4" s="13">
        <f t="shared" ref="AQ4:AQ67" si="21">AM4/O4</f>
        <v>2786.25489037651</v>
      </c>
      <c r="AR4" s="20">
        <v>50.14</v>
      </c>
      <c r="AS4" s="20">
        <f t="shared" si="15"/>
        <v>1501305.51829772</v>
      </c>
      <c r="AT4" s="20">
        <f t="shared" si="16"/>
        <v>1505529.8350769</v>
      </c>
      <c r="AU4" s="20">
        <f t="shared" ref="AU4:AU67" si="22">((AT4/D4)*1000)/365</f>
        <v>6.7787701369863012</v>
      </c>
      <c r="AV4" s="20">
        <v>810</v>
      </c>
      <c r="AW4" s="20">
        <f t="shared" ref="AW4:AW67" si="23">(AV4*1000)/D4</f>
        <v>1.3311880935907401</v>
      </c>
      <c r="AX4" s="14" t="s">
        <v>6</v>
      </c>
      <c r="AY4" s="21">
        <v>1.75</v>
      </c>
      <c r="AZ4" s="1">
        <v>12602</v>
      </c>
      <c r="BA4" s="125">
        <f t="shared" ref="BA4:BA67" si="24">AZ4/D4</f>
        <v>2.0710657228926552E-2</v>
      </c>
      <c r="BB4" s="1">
        <v>803</v>
      </c>
      <c r="BC4" s="127">
        <f t="shared" ref="BC4:BC67" si="25">BB4/D4</f>
        <v>1.3196839989547708E-3</v>
      </c>
    </row>
    <row r="5" spans="1:55">
      <c r="A5" s="10">
        <v>9004</v>
      </c>
      <c r="B5" s="10" t="s">
        <v>7</v>
      </c>
      <c r="C5" s="10">
        <v>80.95</v>
      </c>
      <c r="D5" s="11">
        <v>199224</v>
      </c>
      <c r="E5" s="11">
        <f t="shared" si="17"/>
        <v>196361</v>
      </c>
      <c r="F5" s="11">
        <v>0</v>
      </c>
      <c r="G5" s="11">
        <v>2863</v>
      </c>
      <c r="H5" s="11">
        <v>191949.96569294165</v>
      </c>
      <c r="I5" s="11">
        <f t="shared" si="18"/>
        <v>174928.08876711916</v>
      </c>
      <c r="J5" s="13">
        <v>84.6</v>
      </c>
      <c r="K5" s="13">
        <v>89.5</v>
      </c>
      <c r="L5" s="13">
        <f t="shared" si="19"/>
        <v>86.232190546913401</v>
      </c>
      <c r="M5" s="13">
        <f t="shared" si="0"/>
        <v>78.585230417304956</v>
      </c>
      <c r="N5" s="13">
        <v>2954</v>
      </c>
      <c r="O5" s="13">
        <f t="shared" si="1"/>
        <v>2593.7516274046802</v>
      </c>
      <c r="P5" s="14">
        <v>189705.63</v>
      </c>
      <c r="Q5" s="14">
        <f t="shared" si="2"/>
        <v>0.9522227743645344</v>
      </c>
      <c r="R5" s="15">
        <f t="shared" si="3"/>
        <v>2343.4914144533664</v>
      </c>
      <c r="S5" s="23">
        <v>35.1</v>
      </c>
      <c r="T5" s="23">
        <v>2.7</v>
      </c>
      <c r="U5" s="16">
        <v>40.9</v>
      </c>
      <c r="V5" s="17">
        <v>79.8</v>
      </c>
      <c r="W5" s="17">
        <v>27.2</v>
      </c>
      <c r="X5" s="17">
        <v>30</v>
      </c>
      <c r="Y5" s="13">
        <v>157039</v>
      </c>
      <c r="Z5" s="13">
        <v>0.78</v>
      </c>
      <c r="AA5" s="18">
        <v>513214360</v>
      </c>
      <c r="AB5" s="18">
        <f t="shared" si="4"/>
        <v>1847571695.9999998</v>
      </c>
      <c r="AC5" s="18">
        <f t="shared" si="5"/>
        <v>2576.0669397261372</v>
      </c>
      <c r="AD5" s="13">
        <f t="shared" si="6"/>
        <v>3086219773.1405039</v>
      </c>
      <c r="AE5" s="13">
        <f t="shared" si="7"/>
        <v>687418476.88725698</v>
      </c>
      <c r="AF5" s="13">
        <f t="shared" ref="AF5:AF68" si="26">SUM(AD5:AE5)</f>
        <v>3773638250.027761</v>
      </c>
      <c r="AG5" s="30" t="s">
        <v>114</v>
      </c>
      <c r="AH5" s="29" t="s">
        <v>114</v>
      </c>
      <c r="AI5" s="13">
        <f t="shared" si="8"/>
        <v>2170241.8971310151</v>
      </c>
      <c r="AJ5" s="36">
        <f t="shared" si="9"/>
        <v>10.893476173207119</v>
      </c>
      <c r="AK5" s="13">
        <f t="shared" si="10"/>
        <v>1905574.9670092724</v>
      </c>
      <c r="AL5" s="13">
        <f t="shared" si="11"/>
        <v>3579897.4950107611</v>
      </c>
      <c r="AM5" s="13">
        <f t="shared" si="20"/>
        <v>2742736.231010017</v>
      </c>
      <c r="AN5" s="36">
        <f t="shared" si="12"/>
        <v>15.679221389432815</v>
      </c>
      <c r="AO5" s="13">
        <f t="shared" si="13"/>
        <v>64.953846838145637</v>
      </c>
      <c r="AP5" s="13">
        <f t="shared" si="14"/>
        <v>734.67904439100039</v>
      </c>
      <c r="AQ5" s="13">
        <f t="shared" si="21"/>
        <v>1057.4398111335015</v>
      </c>
      <c r="AR5" s="20">
        <v>16.510000000000002</v>
      </c>
      <c r="AS5" s="20">
        <f t="shared" si="15"/>
        <v>491547.10446432</v>
      </c>
      <c r="AT5" s="20">
        <f t="shared" si="16"/>
        <v>489388.31055360002</v>
      </c>
      <c r="AU5" s="20">
        <f t="shared" si="22"/>
        <v>6.7300621005886407</v>
      </c>
      <c r="AV5" s="20">
        <v>186</v>
      </c>
      <c r="AW5" s="20">
        <f t="shared" si="23"/>
        <v>0.93362245512588848</v>
      </c>
      <c r="AX5" s="14" t="s">
        <v>4</v>
      </c>
      <c r="AY5" s="21">
        <v>1.82</v>
      </c>
      <c r="AZ5" s="128">
        <v>5336</v>
      </c>
      <c r="BA5" s="125">
        <f t="shared" si="24"/>
        <v>2.6783921615869573E-2</v>
      </c>
      <c r="BB5" s="1">
        <v>227</v>
      </c>
      <c r="BC5" s="127">
        <f t="shared" si="25"/>
        <v>1.1394209532987994E-3</v>
      </c>
    </row>
    <row r="6" spans="1:55">
      <c r="A6" s="10">
        <v>9005</v>
      </c>
      <c r="B6" s="10" t="s">
        <v>8</v>
      </c>
      <c r="C6" s="10">
        <v>87.08</v>
      </c>
      <c r="D6" s="11">
        <v>1164477</v>
      </c>
      <c r="E6" s="11">
        <f t="shared" si="17"/>
        <v>1164477</v>
      </c>
      <c r="F6" s="11">
        <v>0</v>
      </c>
      <c r="G6" s="11">
        <v>0</v>
      </c>
      <c r="H6" s="11">
        <v>1103667.5441578508</v>
      </c>
      <c r="I6" s="11">
        <f t="shared" si="18"/>
        <v>1005795.7209675716</v>
      </c>
      <c r="J6" s="13">
        <v>211.7</v>
      </c>
      <c r="K6" s="13">
        <v>200.2</v>
      </c>
      <c r="L6" s="13">
        <f t="shared" si="19"/>
        <v>189.74547572893388</v>
      </c>
      <c r="M6" s="13">
        <f t="shared" si="0"/>
        <v>172.91909014751502</v>
      </c>
      <c r="N6" s="13">
        <v>4380</v>
      </c>
      <c r="O6" s="13">
        <f t="shared" si="1"/>
        <v>3783.1449293012774</v>
      </c>
      <c r="P6" s="14">
        <v>88406.66</v>
      </c>
      <c r="Q6" s="14">
        <f t="shared" si="2"/>
        <v>7.5919627437897014E-2</v>
      </c>
      <c r="R6" s="15">
        <f t="shared" si="3"/>
        <v>1015.2349563619661</v>
      </c>
      <c r="S6" s="23">
        <v>23.5</v>
      </c>
      <c r="T6" s="23">
        <v>4.4000000000000004</v>
      </c>
      <c r="U6" s="16">
        <v>43.7</v>
      </c>
      <c r="V6" s="17">
        <v>79.2</v>
      </c>
      <c r="W6" s="17">
        <v>25.8</v>
      </c>
      <c r="X6" s="17">
        <v>5.2</v>
      </c>
      <c r="Y6" s="13">
        <v>588619</v>
      </c>
      <c r="Z6" s="13">
        <v>0.5</v>
      </c>
      <c r="AA6" s="18">
        <v>1197667217</v>
      </c>
      <c r="AB6" s="18">
        <f t="shared" si="4"/>
        <v>4311601981.1999998</v>
      </c>
      <c r="AC6" s="18">
        <f t="shared" si="5"/>
        <v>1028.5022520839827</v>
      </c>
      <c r="AD6" s="13">
        <f t="shared" si="6"/>
        <v>11567875474.539383</v>
      </c>
      <c r="AE6" s="13">
        <f t="shared" si="7"/>
        <v>2576605661.3127966</v>
      </c>
      <c r="AF6" s="13">
        <f t="shared" si="26"/>
        <v>14144481135.85218</v>
      </c>
      <c r="AG6" s="30" t="s">
        <v>114</v>
      </c>
      <c r="AH6" s="29" t="s">
        <v>114</v>
      </c>
      <c r="AI6" s="13">
        <f t="shared" si="8"/>
        <v>12777366.565866811</v>
      </c>
      <c r="AJ6" s="36">
        <f t="shared" si="9"/>
        <v>10.972622530000001</v>
      </c>
      <c r="AK6" s="13">
        <f t="shared" si="10"/>
        <v>11036216.78846637</v>
      </c>
      <c r="AL6" s="13">
        <f t="shared" si="11"/>
        <v>20733125.444775123</v>
      </c>
      <c r="AM6" s="13">
        <f t="shared" si="20"/>
        <v>15884671.116620746</v>
      </c>
      <c r="AN6" s="36">
        <f t="shared" si="12"/>
        <v>15.793138492714757</v>
      </c>
      <c r="AO6" s="13">
        <f t="shared" si="13"/>
        <v>62.264464574109979</v>
      </c>
      <c r="AP6" s="13">
        <f t="shared" si="14"/>
        <v>2917.2069785084045</v>
      </c>
      <c r="AQ6" s="13">
        <f t="shared" si="21"/>
        <v>4198.8005782148402</v>
      </c>
      <c r="AR6" s="20">
        <v>48.36</v>
      </c>
      <c r="AS6" s="20">
        <f t="shared" si="15"/>
        <v>2873124.20976036</v>
      </c>
      <c r="AT6" s="20">
        <f t="shared" si="16"/>
        <v>2881208.4981747</v>
      </c>
      <c r="AU6" s="20">
        <f t="shared" si="22"/>
        <v>6.7787701369863012</v>
      </c>
      <c r="AV6" s="20">
        <v>1735</v>
      </c>
      <c r="AW6" s="20">
        <f t="shared" si="23"/>
        <v>1.489939260285948</v>
      </c>
      <c r="AX6" s="14" t="s">
        <v>6</v>
      </c>
      <c r="AY6" s="21">
        <v>1.56</v>
      </c>
      <c r="AZ6" s="1">
        <v>23109</v>
      </c>
      <c r="BA6" s="125">
        <f t="shared" si="24"/>
        <v>1.9844960441468572E-2</v>
      </c>
      <c r="BB6" s="1">
        <v>2322</v>
      </c>
      <c r="BC6" s="127">
        <f t="shared" si="25"/>
        <v>1.9940282203942199E-3</v>
      </c>
    </row>
    <row r="7" spans="1:55">
      <c r="A7" s="10">
        <v>9006</v>
      </c>
      <c r="B7" s="10" t="s">
        <v>9</v>
      </c>
      <c r="C7" s="10">
        <v>23.3</v>
      </c>
      <c r="D7" s="11">
        <v>390348</v>
      </c>
      <c r="E7" s="11">
        <f t="shared" si="17"/>
        <v>390348</v>
      </c>
      <c r="F7" s="11">
        <v>0</v>
      </c>
      <c r="G7" s="11">
        <v>0</v>
      </c>
      <c r="H7" s="11">
        <v>351417.98060526181</v>
      </c>
      <c r="I7" s="11">
        <f t="shared" si="18"/>
        <v>320254.68451510882</v>
      </c>
      <c r="J7" s="13">
        <v>226.9</v>
      </c>
      <c r="K7" s="13">
        <v>210.4</v>
      </c>
      <c r="L7" s="13">
        <f t="shared" si="19"/>
        <v>189.416477397981</v>
      </c>
      <c r="M7" s="13">
        <f t="shared" si="0"/>
        <v>172.61926696685754</v>
      </c>
      <c r="N7" s="13">
        <v>4726</v>
      </c>
      <c r="O7" s="13">
        <f t="shared" si="1"/>
        <v>3877.3700365274176</v>
      </c>
      <c r="P7" s="14">
        <v>59788.800000000003</v>
      </c>
      <c r="Q7" s="14">
        <f t="shared" si="2"/>
        <v>0.1531679424513511</v>
      </c>
      <c r="R7" s="15">
        <f t="shared" si="3"/>
        <v>2566.0429184549357</v>
      </c>
      <c r="S7" s="23">
        <v>29.4</v>
      </c>
      <c r="T7" s="23">
        <v>4.5</v>
      </c>
      <c r="U7" s="16">
        <v>37.6</v>
      </c>
      <c r="V7" s="17">
        <v>78.3</v>
      </c>
      <c r="W7" s="17">
        <v>22.6</v>
      </c>
      <c r="X7" s="17">
        <v>5.0999999999999996</v>
      </c>
      <c r="Y7" s="13">
        <v>253685</v>
      </c>
      <c r="Z7" s="13">
        <v>0.65</v>
      </c>
      <c r="AA7" s="18">
        <v>485664692</v>
      </c>
      <c r="AB7" s="18">
        <f t="shared" si="4"/>
        <v>1748392891.1999998</v>
      </c>
      <c r="AC7" s="18">
        <f t="shared" si="5"/>
        <v>1244.1838871980899</v>
      </c>
      <c r="AD7" s="13">
        <f t="shared" si="6"/>
        <v>4985561950.5291595</v>
      </c>
      <c r="AE7" s="13">
        <f t="shared" si="7"/>
        <v>1110474189.9091549</v>
      </c>
      <c r="AF7" s="13">
        <f t="shared" si="26"/>
        <v>6096036140.4383144</v>
      </c>
      <c r="AG7" s="30" t="s">
        <v>114</v>
      </c>
      <c r="AH7" s="29" t="s">
        <v>114</v>
      </c>
      <c r="AI7" s="13">
        <f t="shared" si="8"/>
        <v>4283141.2593404399</v>
      </c>
      <c r="AJ7" s="36">
        <f t="shared" si="9"/>
        <v>10.972622530000001</v>
      </c>
      <c r="AK7" s="13">
        <f t="shared" si="10"/>
        <v>3514033.7666485254</v>
      </c>
      <c r="AL7" s="13">
        <f t="shared" si="11"/>
        <v>6601619.4043270471</v>
      </c>
      <c r="AM7" s="13">
        <f t="shared" si="20"/>
        <v>5057826.5854877867</v>
      </c>
      <c r="AN7" s="36">
        <f t="shared" si="12"/>
        <v>15.79313849271476</v>
      </c>
      <c r="AO7" s="13">
        <f t="shared" si="13"/>
        <v>54.130321756972108</v>
      </c>
      <c r="AP7" s="13">
        <f t="shared" si="14"/>
        <v>906.29311454516289</v>
      </c>
      <c r="AQ7" s="13">
        <f t="shared" si="21"/>
        <v>1304.4477410821457</v>
      </c>
      <c r="AR7" s="20">
        <v>32.01</v>
      </c>
      <c r="AS7" s="20">
        <f t="shared" si="15"/>
        <v>963109.00862063991</v>
      </c>
      <c r="AT7" s="20">
        <f t="shared" si="16"/>
        <v>965818.9683828</v>
      </c>
      <c r="AU7" s="20">
        <f t="shared" si="22"/>
        <v>6.7787701369863012</v>
      </c>
      <c r="AV7" s="20">
        <v>480</v>
      </c>
      <c r="AW7" s="20">
        <f t="shared" si="23"/>
        <v>1.2296719849980018</v>
      </c>
      <c r="AX7" s="14" t="s">
        <v>6</v>
      </c>
      <c r="AY7" s="21">
        <v>1.9</v>
      </c>
      <c r="AZ7" s="1">
        <v>8727</v>
      </c>
      <c r="BA7" s="125">
        <f t="shared" si="24"/>
        <v>2.235697377724492E-2</v>
      </c>
      <c r="BB7" s="1">
        <v>796</v>
      </c>
      <c r="BC7" s="127">
        <f t="shared" si="25"/>
        <v>2.0392060417883532E-3</v>
      </c>
    </row>
    <row r="8" spans="1:55">
      <c r="A8" s="10">
        <v>9007</v>
      </c>
      <c r="B8" s="10" t="s">
        <v>10</v>
      </c>
      <c r="C8" s="10">
        <v>116.67</v>
      </c>
      <c r="D8" s="11">
        <v>1827868</v>
      </c>
      <c r="E8" s="11">
        <f t="shared" si="17"/>
        <v>1827868</v>
      </c>
      <c r="F8" s="11">
        <v>0</v>
      </c>
      <c r="G8" s="11">
        <v>0</v>
      </c>
      <c r="H8" s="11">
        <v>1753831.9833848872</v>
      </c>
      <c r="I8" s="11">
        <f t="shared" si="18"/>
        <v>1598304.4110720858</v>
      </c>
      <c r="J8" s="13">
        <v>211.7</v>
      </c>
      <c r="K8" s="13">
        <v>215.4</v>
      </c>
      <c r="L8" s="13">
        <f t="shared" si="19"/>
        <v>206.6754323731827</v>
      </c>
      <c r="M8" s="13">
        <f t="shared" si="0"/>
        <v>188.34771993652021</v>
      </c>
      <c r="N8" s="13">
        <v>4581</v>
      </c>
      <c r="O8" s="13">
        <f t="shared" si="1"/>
        <v>4005.6680827725122</v>
      </c>
      <c r="P8" s="14">
        <v>148838.75</v>
      </c>
      <c r="Q8" s="14">
        <f t="shared" si="2"/>
        <v>8.1427515553639543E-2</v>
      </c>
      <c r="R8" s="15">
        <f t="shared" si="3"/>
        <v>1275.7242650209994</v>
      </c>
      <c r="S8" s="23">
        <v>27.5</v>
      </c>
      <c r="T8" s="23">
        <v>4.8</v>
      </c>
      <c r="U8" s="16">
        <v>49.4</v>
      </c>
      <c r="V8" s="17">
        <v>75.599999999999994</v>
      </c>
      <c r="W8" s="17">
        <v>37.700000000000003</v>
      </c>
      <c r="X8" s="17">
        <v>3.4</v>
      </c>
      <c r="Y8" s="13">
        <v>773593</v>
      </c>
      <c r="Z8" s="13">
        <v>0.42</v>
      </c>
      <c r="AA8" s="18">
        <v>1576360270</v>
      </c>
      <c r="AB8" s="18">
        <f t="shared" si="4"/>
        <v>5674896971.999999</v>
      </c>
      <c r="AC8" s="18">
        <f t="shared" si="5"/>
        <v>862.40377860983392</v>
      </c>
      <c r="AD8" s="13">
        <f t="shared" si="6"/>
        <v>15203089760.907047</v>
      </c>
      <c r="AE8" s="13">
        <f t="shared" si="7"/>
        <v>3386306088.236959</v>
      </c>
      <c r="AF8" s="13">
        <f t="shared" si="26"/>
        <v>18589395849.144005</v>
      </c>
      <c r="AG8" s="30" t="s">
        <v>114</v>
      </c>
      <c r="AH8" s="29" t="s">
        <v>114</v>
      </c>
      <c r="AI8" s="13">
        <f t="shared" si="8"/>
        <v>20056505.598666042</v>
      </c>
      <c r="AJ8" s="36">
        <f t="shared" si="9"/>
        <v>10.972622530000001</v>
      </c>
      <c r="AK8" s="13">
        <f t="shared" si="10"/>
        <v>17537590.99072795</v>
      </c>
      <c r="AL8" s="13">
        <f t="shared" si="11"/>
        <v>32946894.844428748</v>
      </c>
      <c r="AM8" s="13">
        <f t="shared" si="20"/>
        <v>25242242.917578347</v>
      </c>
      <c r="AN8" s="36">
        <f t="shared" si="12"/>
        <v>15.793138492714755</v>
      </c>
      <c r="AO8" s="13">
        <f t="shared" si="13"/>
        <v>64.270364457804874</v>
      </c>
      <c r="AP8" s="13">
        <f t="shared" si="14"/>
        <v>4378.1937565304606</v>
      </c>
      <c r="AQ8" s="13">
        <f t="shared" si="21"/>
        <v>6301.6311876012942</v>
      </c>
      <c r="AR8" s="20">
        <v>76.78</v>
      </c>
      <c r="AS8" s="20">
        <f t="shared" si="15"/>
        <v>4509914.5822942397</v>
      </c>
      <c r="AT8" s="20">
        <f t="shared" si="16"/>
        <v>4522604.4096547998</v>
      </c>
      <c r="AU8" s="20">
        <f t="shared" si="22"/>
        <v>6.7787701369863012</v>
      </c>
      <c r="AV8" s="20">
        <v>2245</v>
      </c>
      <c r="AW8" s="20">
        <f t="shared" si="23"/>
        <v>1.228206850822926</v>
      </c>
      <c r="AX8" s="14" t="s">
        <v>4</v>
      </c>
      <c r="AY8" s="21">
        <v>1.94</v>
      </c>
      <c r="AZ8" s="1">
        <v>28035</v>
      </c>
      <c r="BA8" s="125">
        <f t="shared" si="24"/>
        <v>1.5337540785220814E-2</v>
      </c>
      <c r="BB8" s="1">
        <v>2569</v>
      </c>
      <c r="BC8" s="127">
        <f t="shared" si="25"/>
        <v>1.4054625388704217E-3</v>
      </c>
    </row>
    <row r="9" spans="1:55">
      <c r="A9" s="10">
        <v>9008</v>
      </c>
      <c r="B9" s="10" t="s">
        <v>11</v>
      </c>
      <c r="C9" s="10">
        <v>63.37</v>
      </c>
      <c r="D9" s="11">
        <v>243886</v>
      </c>
      <c r="E9" s="11">
        <f t="shared" si="17"/>
        <v>243231</v>
      </c>
      <c r="F9" s="11">
        <v>0</v>
      </c>
      <c r="G9" s="11">
        <v>655</v>
      </c>
      <c r="H9" s="11">
        <v>235161.48402383149</v>
      </c>
      <c r="I9" s="11">
        <f t="shared" si="18"/>
        <v>214307.66503878005</v>
      </c>
      <c r="J9" s="13">
        <v>151.6</v>
      </c>
      <c r="K9" s="13">
        <v>162.30000000000001</v>
      </c>
      <c r="L9" s="13">
        <f t="shared" si="19"/>
        <v>156.49405401321869</v>
      </c>
      <c r="M9" s="13">
        <f t="shared" si="0"/>
        <v>142.61636188954677</v>
      </c>
      <c r="N9" s="13">
        <v>5848</v>
      </c>
      <c r="O9" s="13">
        <f t="shared" si="1"/>
        <v>5138.7583754163243</v>
      </c>
      <c r="P9" s="14">
        <v>14220.74</v>
      </c>
      <c r="Q9" s="14">
        <f t="shared" si="2"/>
        <v>5.8308964024175229E-2</v>
      </c>
      <c r="R9" s="15">
        <f t="shared" si="3"/>
        <v>224.40807953290201</v>
      </c>
      <c r="S9" s="23">
        <v>25.5</v>
      </c>
      <c r="T9" s="23">
        <v>4.7</v>
      </c>
      <c r="U9" s="16">
        <v>49.4</v>
      </c>
      <c r="V9" s="17">
        <v>79.400000000000006</v>
      </c>
      <c r="W9" s="17">
        <v>29.5</v>
      </c>
      <c r="X9" s="17">
        <v>10.8</v>
      </c>
      <c r="Y9" s="13">
        <v>132052</v>
      </c>
      <c r="Z9" s="13">
        <v>0.54</v>
      </c>
      <c r="AA9" s="18">
        <v>128013325</v>
      </c>
      <c r="AB9" s="18">
        <f t="shared" si="4"/>
        <v>460847970</v>
      </c>
      <c r="AC9" s="18">
        <f t="shared" si="5"/>
        <v>524.89001008667981</v>
      </c>
      <c r="AD9" s="13">
        <f t="shared" si="6"/>
        <v>2595161033.136672</v>
      </c>
      <c r="AE9" s="13">
        <f t="shared" si="7"/>
        <v>578041026.17767596</v>
      </c>
      <c r="AF9" s="13">
        <f t="shared" si="26"/>
        <v>3173202059.3143482</v>
      </c>
      <c r="AG9" s="30" t="s">
        <v>114</v>
      </c>
      <c r="AH9" s="29" t="s">
        <v>114</v>
      </c>
      <c r="AI9" s="13">
        <f t="shared" si="8"/>
        <v>2672461.6330111553</v>
      </c>
      <c r="AJ9" s="36">
        <f t="shared" si="9"/>
        <v>10.9578312531722</v>
      </c>
      <c r="AK9" s="13">
        <f t="shared" si="10"/>
        <v>2348347.2297563031</v>
      </c>
      <c r="AL9" s="13">
        <f t="shared" si="11"/>
        <v>4411709.0698427204</v>
      </c>
      <c r="AM9" s="13">
        <f t="shared" si="20"/>
        <v>3380028.1497995118</v>
      </c>
      <c r="AN9" s="36">
        <f t="shared" si="12"/>
        <v>15.771849080563118</v>
      </c>
      <c r="AO9" s="13">
        <f t="shared" si="13"/>
        <v>65.080351962691964</v>
      </c>
      <c r="AP9" s="13">
        <f t="shared" si="14"/>
        <v>456.98728334664077</v>
      </c>
      <c r="AQ9" s="13">
        <f t="shared" si="21"/>
        <v>657.75191259613825</v>
      </c>
      <c r="AR9" s="20">
        <v>8.57</v>
      </c>
      <c r="AS9" s="20">
        <f t="shared" si="15"/>
        <v>601742.04473047995</v>
      </c>
      <c r="AT9" s="20">
        <f t="shared" si="16"/>
        <v>602624.88650659996</v>
      </c>
      <c r="AU9" s="20">
        <f t="shared" si="22"/>
        <v>6.7696673294877607</v>
      </c>
      <c r="AV9" s="20">
        <v>262</v>
      </c>
      <c r="AW9" s="20">
        <f t="shared" si="23"/>
        <v>1.0742724059601618</v>
      </c>
      <c r="AX9" s="14" t="s">
        <v>4</v>
      </c>
      <c r="AY9" s="21">
        <v>2.19</v>
      </c>
      <c r="AZ9" s="1">
        <v>6921</v>
      </c>
      <c r="BA9" s="125">
        <f t="shared" si="24"/>
        <v>2.8378012678054503E-2</v>
      </c>
      <c r="BB9" s="1">
        <v>233</v>
      </c>
      <c r="BC9" s="127">
        <f t="shared" si="25"/>
        <v>9.5536439155999113E-4</v>
      </c>
    </row>
    <row r="10" spans="1:55">
      <c r="A10" s="10">
        <v>9009</v>
      </c>
      <c r="B10" s="10" t="s">
        <v>12</v>
      </c>
      <c r="C10" s="10">
        <v>283.7</v>
      </c>
      <c r="D10" s="11">
        <v>137927</v>
      </c>
      <c r="E10" s="11">
        <f t="shared" si="17"/>
        <v>109711</v>
      </c>
      <c r="F10" s="11">
        <v>11506</v>
      </c>
      <c r="G10" s="11">
        <v>16710</v>
      </c>
      <c r="H10" s="11">
        <v>139240.31857423254</v>
      </c>
      <c r="I10" s="11">
        <f t="shared" si="18"/>
        <v>126892.66559431823</v>
      </c>
      <c r="J10" s="13">
        <v>36.799999999999997</v>
      </c>
      <c r="K10" s="13">
        <v>47.3</v>
      </c>
      <c r="L10" s="13">
        <f t="shared" si="19"/>
        <v>47.75038294576985</v>
      </c>
      <c r="M10" s="13">
        <f t="shared" si="0"/>
        <v>43.515940190182135</v>
      </c>
      <c r="N10" s="13">
        <v>1200</v>
      </c>
      <c r="O10" s="13">
        <f t="shared" si="1"/>
        <v>1103.9984826261855</v>
      </c>
      <c r="P10" s="14">
        <v>2302.2600000000002</v>
      </c>
      <c r="Q10" s="14">
        <f t="shared" si="2"/>
        <v>1.6691873237292192E-2</v>
      </c>
      <c r="R10" s="15">
        <f t="shared" si="3"/>
        <v>8.1151216073316892</v>
      </c>
      <c r="S10" s="23">
        <v>30.2</v>
      </c>
      <c r="T10" s="23">
        <v>3.6</v>
      </c>
      <c r="U10" s="16">
        <v>59.4</v>
      </c>
      <c r="V10" s="17">
        <v>80.599999999999994</v>
      </c>
      <c r="W10" s="17">
        <v>68</v>
      </c>
      <c r="X10" s="17">
        <v>2</v>
      </c>
      <c r="Y10" s="13">
        <v>55756</v>
      </c>
      <c r="Z10" s="13">
        <v>0.4</v>
      </c>
      <c r="AA10" s="18">
        <v>45065397</v>
      </c>
      <c r="AB10" s="18">
        <f t="shared" si="4"/>
        <v>162235429.19999999</v>
      </c>
      <c r="AC10" s="18">
        <f t="shared" si="5"/>
        <v>326.73368521029238</v>
      </c>
      <c r="AD10" s="13">
        <f t="shared" si="6"/>
        <v>1095748633.5956159</v>
      </c>
      <c r="AE10" s="13">
        <f t="shared" si="7"/>
        <v>244064879.40782797</v>
      </c>
      <c r="AF10" s="13">
        <f t="shared" si="26"/>
        <v>1339813513.0034437</v>
      </c>
      <c r="AG10" s="30" t="s">
        <v>114</v>
      </c>
      <c r="AH10" s="29" t="s">
        <v>114</v>
      </c>
      <c r="AI10" s="13">
        <f t="shared" si="8"/>
        <v>1389706.8666263896</v>
      </c>
      <c r="AJ10" s="36">
        <f t="shared" si="9"/>
        <v>10.075669496374093</v>
      </c>
      <c r="AK10" s="13">
        <f t="shared" si="10"/>
        <v>1278528.5600422705</v>
      </c>
      <c r="AL10" s="13">
        <f t="shared" si="11"/>
        <v>2401900.3548196629</v>
      </c>
      <c r="AM10" s="13">
        <f t="shared" si="20"/>
        <v>1840214.4574309667</v>
      </c>
      <c r="AN10" s="36">
        <f t="shared" si="12"/>
        <v>14.502134136847737</v>
      </c>
      <c r="AO10" s="13">
        <f t="shared" si="13"/>
        <v>72.835035394942224</v>
      </c>
      <c r="AP10" s="13">
        <f t="shared" si="14"/>
        <v>1158.0890555219912</v>
      </c>
      <c r="AQ10" s="13">
        <f t="shared" si="21"/>
        <v>1666.863212577498</v>
      </c>
      <c r="AR10" s="20">
        <v>1.08</v>
      </c>
      <c r="AS10" s="20">
        <f t="shared" si="15"/>
        <v>340308.48430636001</v>
      </c>
      <c r="AT10" s="20">
        <f t="shared" si="16"/>
        <v>313476.47911690001</v>
      </c>
      <c r="AU10" s="20">
        <f t="shared" si="22"/>
        <v>6.2267697319119879</v>
      </c>
      <c r="AV10" s="20">
        <v>120</v>
      </c>
      <c r="AW10" s="20">
        <f t="shared" si="23"/>
        <v>0.87002544824436112</v>
      </c>
      <c r="AX10" s="14" t="s">
        <v>13</v>
      </c>
      <c r="AY10" s="21">
        <v>1.85</v>
      </c>
      <c r="AZ10" s="1">
        <v>4230</v>
      </c>
      <c r="BA10" s="125">
        <f t="shared" si="24"/>
        <v>3.0668397050613732E-2</v>
      </c>
      <c r="BB10" s="1">
        <v>137</v>
      </c>
      <c r="BC10" s="127">
        <f t="shared" si="25"/>
        <v>9.9327905341231224E-4</v>
      </c>
    </row>
    <row r="11" spans="1:55">
      <c r="A11" s="10">
        <v>9010</v>
      </c>
      <c r="B11" s="10" t="s">
        <v>14</v>
      </c>
      <c r="C11" s="10">
        <v>81.099999999999994</v>
      </c>
      <c r="D11" s="11">
        <v>749982</v>
      </c>
      <c r="E11" s="11">
        <f t="shared" si="17"/>
        <v>749612</v>
      </c>
      <c r="F11" s="11">
        <v>0</v>
      </c>
      <c r="G11" s="11">
        <v>370</v>
      </c>
      <c r="H11" s="11">
        <v>704630.4615536785</v>
      </c>
      <c r="I11" s="11">
        <f t="shared" si="18"/>
        <v>642144.7353830419</v>
      </c>
      <c r="J11" s="13">
        <v>193</v>
      </c>
      <c r="K11" s="13">
        <v>193.5</v>
      </c>
      <c r="L11" s="13">
        <f t="shared" si="19"/>
        <v>181.79902225738323</v>
      </c>
      <c r="M11" s="13">
        <f t="shared" si="0"/>
        <v>165.67731798445644</v>
      </c>
      <c r="N11" s="13">
        <v>3503</v>
      </c>
      <c r="O11" s="13">
        <f t="shared" si="1"/>
        <v>2999.3159943129249</v>
      </c>
      <c r="P11" s="14">
        <v>564719.39</v>
      </c>
      <c r="Q11" s="14">
        <f t="shared" si="2"/>
        <v>0.75297725812086158</v>
      </c>
      <c r="R11" s="15">
        <f t="shared" si="3"/>
        <v>6963.2477188655985</v>
      </c>
      <c r="S11" s="23">
        <v>27.9</v>
      </c>
      <c r="T11" s="23">
        <v>3</v>
      </c>
      <c r="U11" s="16">
        <v>44.8</v>
      </c>
      <c r="V11" s="17">
        <v>79.5</v>
      </c>
      <c r="W11" s="17">
        <v>25.8</v>
      </c>
      <c r="X11" s="17">
        <v>11.5</v>
      </c>
      <c r="Y11" s="13">
        <v>434976</v>
      </c>
      <c r="Z11" s="13">
        <v>0.56999999999999995</v>
      </c>
      <c r="AA11" s="18">
        <v>1122970189</v>
      </c>
      <c r="AB11" s="18">
        <f t="shared" si="4"/>
        <v>4042692680.4000001</v>
      </c>
      <c r="AC11" s="18">
        <f t="shared" si="5"/>
        <v>1497.3295212418432</v>
      </c>
      <c r="AD11" s="13">
        <f t="shared" si="6"/>
        <v>8548395825.5055361</v>
      </c>
      <c r="AE11" s="13">
        <f t="shared" si="7"/>
        <v>1904052747.4226878</v>
      </c>
      <c r="AF11" s="13">
        <f t="shared" si="26"/>
        <v>10452448572.928225</v>
      </c>
      <c r="AG11" s="30" t="s">
        <v>114</v>
      </c>
      <c r="AH11" s="29" t="s">
        <v>114</v>
      </c>
      <c r="AI11" s="13">
        <f t="shared" si="8"/>
        <v>8227231.6306365104</v>
      </c>
      <c r="AJ11" s="36">
        <f t="shared" si="9"/>
        <v>10.96990545191286</v>
      </c>
      <c r="AK11" s="13">
        <f t="shared" si="10"/>
        <v>7044267.0335955722</v>
      </c>
      <c r="AL11" s="13">
        <f t="shared" si="11"/>
        <v>13233671.907085337</v>
      </c>
      <c r="AM11" s="13">
        <f t="shared" si="20"/>
        <v>10138969.470340455</v>
      </c>
      <c r="AN11" s="36">
        <f t="shared" si="12"/>
        <v>15.789227742079859</v>
      </c>
      <c r="AO11" s="13">
        <f t="shared" si="13"/>
        <v>60.852064232710774</v>
      </c>
      <c r="AP11" s="13">
        <f t="shared" si="14"/>
        <v>2348.6245020372567</v>
      </c>
      <c r="AQ11" s="13">
        <f t="shared" si="21"/>
        <v>3380.4272339310692</v>
      </c>
      <c r="AR11" s="20">
        <v>51.25</v>
      </c>
      <c r="AS11" s="20">
        <f t="shared" si="15"/>
        <v>1850437.0984437598</v>
      </c>
      <c r="AT11" s="20">
        <f t="shared" si="16"/>
        <v>1855186.0520082002</v>
      </c>
      <c r="AU11" s="20">
        <f t="shared" si="22"/>
        <v>6.7770980001536483</v>
      </c>
      <c r="AV11" s="20">
        <v>677</v>
      </c>
      <c r="AW11" s="20">
        <f t="shared" si="23"/>
        <v>0.90268833118661518</v>
      </c>
      <c r="AX11" s="14" t="s">
        <v>15</v>
      </c>
      <c r="AY11" s="21">
        <v>2.06</v>
      </c>
      <c r="AZ11" s="1">
        <v>17659</v>
      </c>
      <c r="BA11" s="125">
        <f t="shared" si="24"/>
        <v>2.3545898434895771E-2</v>
      </c>
      <c r="BB11" s="1">
        <v>1075</v>
      </c>
      <c r="BC11" s="127">
        <f t="shared" si="25"/>
        <v>1.4333677341589531E-3</v>
      </c>
    </row>
    <row r="12" spans="1:55">
      <c r="A12" s="10">
        <v>9011</v>
      </c>
      <c r="B12" s="10" t="s">
        <v>16</v>
      </c>
      <c r="C12" s="10">
        <v>85.34</v>
      </c>
      <c r="D12" s="11">
        <v>361593</v>
      </c>
      <c r="E12" s="11">
        <f>D12-F12-G12</f>
        <v>353397</v>
      </c>
      <c r="F12" s="11">
        <v>4246</v>
      </c>
      <c r="G12" s="11">
        <v>3950</v>
      </c>
      <c r="H12" s="11">
        <v>364056.27292617015</v>
      </c>
      <c r="I12" s="11">
        <f t="shared" si="18"/>
        <v>331772.2292721275</v>
      </c>
      <c r="J12" s="13">
        <v>127.1</v>
      </c>
      <c r="K12" s="13">
        <v>135.80000000000001</v>
      </c>
      <c r="L12" s="13">
        <f t="shared" si="19"/>
        <v>136.72510768564081</v>
      </c>
      <c r="M12" s="13">
        <f t="shared" si="0"/>
        <v>124.60050038345577</v>
      </c>
      <c r="N12" s="13">
        <v>4582</v>
      </c>
      <c r="O12" s="13">
        <f t="shared" si="1"/>
        <v>4204.1199761192502</v>
      </c>
      <c r="P12" s="14">
        <v>14396.52</v>
      </c>
      <c r="Q12" s="14">
        <f t="shared" si="2"/>
        <v>3.9814155694385678E-2</v>
      </c>
      <c r="R12" s="15">
        <f t="shared" si="3"/>
        <v>168.69603937192406</v>
      </c>
      <c r="S12" s="23">
        <v>23.1</v>
      </c>
      <c r="T12" s="23">
        <v>4.9000000000000004</v>
      </c>
      <c r="U12" s="16">
        <v>49.5</v>
      </c>
      <c r="V12" s="17">
        <v>83.3</v>
      </c>
      <c r="W12" s="17">
        <v>47.3</v>
      </c>
      <c r="X12" s="17">
        <v>4.5999999999999996</v>
      </c>
      <c r="Y12" s="13">
        <v>135607</v>
      </c>
      <c r="Z12" s="13">
        <v>0.37</v>
      </c>
      <c r="AA12" s="18">
        <v>199744152</v>
      </c>
      <c r="AB12" s="18">
        <f t="shared" si="4"/>
        <v>719078947.19999993</v>
      </c>
      <c r="AC12" s="18">
        <f t="shared" si="5"/>
        <v>552.40049447859883</v>
      </c>
      <c r="AD12" s="13">
        <f t="shared" si="6"/>
        <v>2665025915.7041521</v>
      </c>
      <c r="AE12" s="13">
        <f t="shared" si="7"/>
        <v>593602591.68264091</v>
      </c>
      <c r="AF12" s="13">
        <f t="shared" si="26"/>
        <v>3258628507.3867931</v>
      </c>
      <c r="AG12" s="30" t="s">
        <v>114</v>
      </c>
      <c r="AH12" s="29" t="s">
        <v>114</v>
      </c>
      <c r="AI12" s="13">
        <f t="shared" si="8"/>
        <v>3934176.7028082628</v>
      </c>
      <c r="AJ12" s="36">
        <f t="shared" si="9"/>
        <v>10.880124069902523</v>
      </c>
      <c r="AK12" s="13">
        <f t="shared" si="10"/>
        <v>3609723.0174288931</v>
      </c>
      <c r="AL12" s="13">
        <f t="shared" si="11"/>
        <v>6781385.4671158157</v>
      </c>
      <c r="AM12" s="13">
        <f t="shared" si="20"/>
        <v>5195554.2422723547</v>
      </c>
      <c r="AN12" s="36">
        <f t="shared" si="12"/>
        <v>15.660003411590056</v>
      </c>
      <c r="AO12" s="13">
        <f t="shared" si="13"/>
        <v>72.371145970011497</v>
      </c>
      <c r="AP12" s="13">
        <f t="shared" si="14"/>
        <v>858.61560515239262</v>
      </c>
      <c r="AQ12" s="13">
        <f t="shared" si="21"/>
        <v>1235.8244464441475</v>
      </c>
      <c r="AR12" s="20">
        <v>9.8000000000000007</v>
      </c>
      <c r="AS12" s="20">
        <f t="shared" si="15"/>
        <v>892161.54752724001</v>
      </c>
      <c r="AT12" s="20">
        <f t="shared" si="16"/>
        <v>887158.81423349993</v>
      </c>
      <c r="AU12" s="20">
        <f t="shared" si="22"/>
        <v>6.721844985357599</v>
      </c>
      <c r="AV12" s="20">
        <v>358</v>
      </c>
      <c r="AW12" s="20">
        <f t="shared" si="23"/>
        <v>0.99006341383821039</v>
      </c>
      <c r="AX12" s="14" t="s">
        <v>17</v>
      </c>
      <c r="AY12" s="21">
        <v>1.75</v>
      </c>
      <c r="AZ12" s="1">
        <v>9478</v>
      </c>
      <c r="BA12" s="125">
        <f t="shared" si="24"/>
        <v>2.6211790604353514E-2</v>
      </c>
      <c r="BB12" s="1">
        <v>368</v>
      </c>
      <c r="BC12" s="127">
        <f t="shared" si="25"/>
        <v>1.0177188164593894E-3</v>
      </c>
    </row>
    <row r="13" spans="1:55">
      <c r="A13" s="10">
        <v>9012</v>
      </c>
      <c r="B13" s="10" t="s">
        <v>18</v>
      </c>
      <c r="C13" s="10">
        <v>312</v>
      </c>
      <c r="D13" s="11">
        <v>677104</v>
      </c>
      <c r="E13" s="11">
        <f t="shared" ref="E13:E18" si="27">D13-F13-G13</f>
        <v>665498</v>
      </c>
      <c r="F13" s="11">
        <v>2589</v>
      </c>
      <c r="G13" s="11">
        <v>9017</v>
      </c>
      <c r="H13" s="11">
        <v>648201.77196190599</v>
      </c>
      <c r="I13" s="11">
        <f t="shared" si="18"/>
        <v>590720.069656807</v>
      </c>
      <c r="J13" s="13">
        <v>119.3</v>
      </c>
      <c r="K13" s="13">
        <v>119.9</v>
      </c>
      <c r="L13" s="13">
        <f t="shared" si="19"/>
        <v>114.7820607443355</v>
      </c>
      <c r="M13" s="13">
        <f t="shared" si="0"/>
        <v>104.60333471940969</v>
      </c>
      <c r="N13" s="13">
        <v>3817</v>
      </c>
      <c r="O13" s="13">
        <f t="shared" si="1"/>
        <v>3330.0327658380875</v>
      </c>
      <c r="P13" s="14">
        <v>160792.06</v>
      </c>
      <c r="Q13" s="14">
        <f t="shared" si="2"/>
        <v>0.23747025567711902</v>
      </c>
      <c r="R13" s="15">
        <f t="shared" si="3"/>
        <v>515.35916666666662</v>
      </c>
      <c r="S13" s="23">
        <v>26.2</v>
      </c>
      <c r="T13" s="23">
        <v>3.9</v>
      </c>
      <c r="U13" s="16">
        <v>40.700000000000003</v>
      </c>
      <c r="V13" s="17">
        <v>75.900000000000006</v>
      </c>
      <c r="W13" s="17">
        <v>33.6</v>
      </c>
      <c r="X13" s="17">
        <v>9.1</v>
      </c>
      <c r="Y13" s="13">
        <v>405755</v>
      </c>
      <c r="Z13" s="13">
        <v>0.59</v>
      </c>
      <c r="AA13" s="18">
        <v>803260439</v>
      </c>
      <c r="AB13" s="18">
        <f t="shared" si="4"/>
        <v>2891737580.4000001</v>
      </c>
      <c r="AC13" s="18">
        <f t="shared" si="5"/>
        <v>1186.3176690729931</v>
      </c>
      <c r="AD13" s="13">
        <f t="shared" si="6"/>
        <v>7974128108.6266794</v>
      </c>
      <c r="AE13" s="13">
        <f t="shared" si="7"/>
        <v>1776141494.083565</v>
      </c>
      <c r="AF13" s="13">
        <f t="shared" si="26"/>
        <v>9750269602.7102451</v>
      </c>
      <c r="AG13" s="30" t="s">
        <v>114</v>
      </c>
      <c r="AH13" s="29" t="s">
        <v>114</v>
      </c>
      <c r="AI13" s="13">
        <f t="shared" si="8"/>
        <v>7372816.4468700942</v>
      </c>
      <c r="AJ13" s="36">
        <f t="shared" si="9"/>
        <v>10.88875039413457</v>
      </c>
      <c r="AK13" s="13">
        <f t="shared" si="10"/>
        <v>6432203.3912987579</v>
      </c>
      <c r="AL13" s="13">
        <f t="shared" si="11"/>
        <v>12083822.051907811</v>
      </c>
      <c r="AM13" s="13">
        <f t="shared" si="20"/>
        <v>9258012.7216032855</v>
      </c>
      <c r="AN13" s="36">
        <f t="shared" si="12"/>
        <v>15.672419471005869</v>
      </c>
      <c r="AO13" s="13">
        <f t="shared" si="13"/>
        <v>63.89696039479773</v>
      </c>
      <c r="AP13" s="13">
        <f t="shared" si="14"/>
        <v>1931.5736041053431</v>
      </c>
      <c r="AQ13" s="13">
        <f t="shared" si="21"/>
        <v>2780.1566448771177</v>
      </c>
      <c r="AR13" s="20">
        <v>52.98</v>
      </c>
      <c r="AS13" s="20">
        <f t="shared" si="15"/>
        <v>1670624.5764627201</v>
      </c>
      <c r="AT13" s="20">
        <f t="shared" si="16"/>
        <v>1662568.69619</v>
      </c>
      <c r="AU13" s="20">
        <f t="shared" si="22"/>
        <v>6.7271537744388921</v>
      </c>
      <c r="AV13" s="20">
        <v>868</v>
      </c>
      <c r="AW13" s="20">
        <f t="shared" si="23"/>
        <v>1.2819301023181078</v>
      </c>
      <c r="AX13" s="14" t="s">
        <v>4</v>
      </c>
      <c r="AY13" s="21">
        <v>2.27</v>
      </c>
      <c r="AZ13" s="1">
        <v>17671</v>
      </c>
      <c r="BA13" s="125">
        <f t="shared" si="24"/>
        <v>2.6097911103759541E-2</v>
      </c>
      <c r="BB13" s="1">
        <v>671</v>
      </c>
      <c r="BC13" s="127">
        <f t="shared" si="25"/>
        <v>9.9098513669982746E-4</v>
      </c>
    </row>
    <row r="14" spans="1:55">
      <c r="A14" s="10">
        <v>9013</v>
      </c>
      <c r="B14" s="10" t="s">
        <v>19</v>
      </c>
      <c r="C14" s="10">
        <v>125.17</v>
      </c>
      <c r="D14" s="11">
        <v>415933</v>
      </c>
      <c r="E14" s="11">
        <f t="shared" si="27"/>
        <v>408811</v>
      </c>
      <c r="F14" s="11">
        <v>0</v>
      </c>
      <c r="G14" s="11">
        <v>7122</v>
      </c>
      <c r="H14" s="11">
        <v>406278.29640024208</v>
      </c>
      <c r="I14" s="11">
        <f t="shared" si="18"/>
        <v>370250.05782258831</v>
      </c>
      <c r="J14" s="13">
        <v>88</v>
      </c>
      <c r="K14" s="13">
        <v>93.8</v>
      </c>
      <c r="L14" s="13">
        <f t="shared" si="19"/>
        <v>91.622699334610886</v>
      </c>
      <c r="M14" s="13">
        <f t="shared" si="0"/>
        <v>83.497715794992899</v>
      </c>
      <c r="N14" s="13">
        <v>1544</v>
      </c>
      <c r="O14" s="13">
        <f t="shared" si="1"/>
        <v>1374.4186906979642</v>
      </c>
      <c r="P14" s="14">
        <v>32151.64</v>
      </c>
      <c r="Q14" s="14">
        <f t="shared" si="2"/>
        <v>7.7300045920857444E-2</v>
      </c>
      <c r="R14" s="15">
        <f t="shared" si="3"/>
        <v>256.8637852520572</v>
      </c>
      <c r="S14" s="23">
        <v>23.8</v>
      </c>
      <c r="T14" s="23">
        <v>4</v>
      </c>
      <c r="U14" s="16">
        <v>47.3</v>
      </c>
      <c r="V14" s="17">
        <v>76.3</v>
      </c>
      <c r="W14" s="17">
        <v>41.2</v>
      </c>
      <c r="X14" s="17">
        <v>3.9</v>
      </c>
      <c r="Y14" s="13">
        <v>184750</v>
      </c>
      <c r="Z14" s="13">
        <v>0.44</v>
      </c>
      <c r="AA14" s="18">
        <v>288032436</v>
      </c>
      <c r="AB14" s="18">
        <f t="shared" si="4"/>
        <v>1036916769.6</v>
      </c>
      <c r="AC14" s="18">
        <f t="shared" si="5"/>
        <v>692.49719546176914</v>
      </c>
      <c r="AD14" s="13">
        <f t="shared" si="6"/>
        <v>3630812110.9260001</v>
      </c>
      <c r="AE14" s="13">
        <f t="shared" si="7"/>
        <v>808719895.08924997</v>
      </c>
      <c r="AF14" s="13">
        <f t="shared" si="26"/>
        <v>4439532006.0152502</v>
      </c>
      <c r="AG14" s="30" t="s">
        <v>114</v>
      </c>
      <c r="AH14" s="29" t="s">
        <v>114</v>
      </c>
      <c r="AI14" s="13">
        <f t="shared" si="8"/>
        <v>4524651.6870842203</v>
      </c>
      <c r="AJ14" s="36">
        <f t="shared" si="9"/>
        <v>10.878318592379591</v>
      </c>
      <c r="AK14" s="13">
        <f t="shared" si="10"/>
        <v>4027698.087841081</v>
      </c>
      <c r="AL14" s="13">
        <f t="shared" si="11"/>
        <v>7566611.9386274228</v>
      </c>
      <c r="AM14" s="13">
        <f t="shared" si="20"/>
        <v>5797155.0132342521</v>
      </c>
      <c r="AN14" s="36">
        <f t="shared" si="12"/>
        <v>15.657404747826019</v>
      </c>
      <c r="AO14" s="13">
        <f t="shared" si="13"/>
        <v>67.230816025608931</v>
      </c>
      <c r="AP14" s="13">
        <f t="shared" si="14"/>
        <v>2930.4738905985882</v>
      </c>
      <c r="AQ14" s="13">
        <f t="shared" si="21"/>
        <v>4217.8959384569425</v>
      </c>
      <c r="AR14" s="20">
        <v>15.05</v>
      </c>
      <c r="AS14" s="20">
        <f t="shared" si="15"/>
        <v>1026235.10119844</v>
      </c>
      <c r="AT14" s="20">
        <f t="shared" si="16"/>
        <v>1020311.8742531</v>
      </c>
      <c r="AU14" s="20">
        <f t="shared" si="22"/>
        <v>6.7207338632753322</v>
      </c>
      <c r="AV14" s="20">
        <v>443</v>
      </c>
      <c r="AW14" s="20">
        <f t="shared" si="23"/>
        <v>1.0650753847374457</v>
      </c>
      <c r="AX14" s="14" t="s">
        <v>6</v>
      </c>
      <c r="AY14" s="21">
        <v>1.73</v>
      </c>
      <c r="AZ14" s="124">
        <v>10934</v>
      </c>
      <c r="BA14" s="125">
        <f t="shared" si="24"/>
        <v>2.6287887712684494E-2</v>
      </c>
      <c r="BB14" s="1">
        <v>462</v>
      </c>
      <c r="BC14" s="127">
        <f t="shared" si="25"/>
        <v>1.1107558188458238E-3</v>
      </c>
    </row>
    <row r="15" spans="1:55">
      <c r="A15" s="10">
        <v>9014</v>
      </c>
      <c r="B15" s="10" t="s">
        <v>20</v>
      </c>
      <c r="C15" s="10">
        <v>26.63</v>
      </c>
      <c r="D15" s="11">
        <v>417416</v>
      </c>
      <c r="E15" s="11">
        <f t="shared" si="27"/>
        <v>417416</v>
      </c>
      <c r="F15" s="11">
        <v>0</v>
      </c>
      <c r="G15" s="11">
        <v>0</v>
      </c>
      <c r="H15" s="11">
        <v>357709.64079525846</v>
      </c>
      <c r="I15" s="11">
        <f t="shared" si="18"/>
        <v>325988.40834379062</v>
      </c>
      <c r="J15" s="13">
        <v>149.69999999999999</v>
      </c>
      <c r="K15" s="13">
        <v>157.1</v>
      </c>
      <c r="L15" s="13">
        <f t="shared" si="19"/>
        <v>134.62872666341278</v>
      </c>
      <c r="M15" s="13">
        <f t="shared" si="0"/>
        <v>122.69002374324299</v>
      </c>
      <c r="N15" s="13">
        <v>5989</v>
      </c>
      <c r="O15" s="13">
        <f t="shared" si="1"/>
        <v>4677.2154818477547</v>
      </c>
      <c r="P15" s="14">
        <v>308478.95</v>
      </c>
      <c r="Q15" s="14">
        <f t="shared" si="2"/>
        <v>0.73902042566648141</v>
      </c>
      <c r="R15" s="15">
        <f t="shared" si="3"/>
        <v>11583.888471648517</v>
      </c>
      <c r="S15" s="23">
        <v>26.6</v>
      </c>
      <c r="T15" s="23">
        <v>3.2</v>
      </c>
      <c r="U15" s="16">
        <v>16.8</v>
      </c>
      <c r="V15" s="17">
        <v>81.7</v>
      </c>
      <c r="W15" s="17">
        <v>9.1999999999999993</v>
      </c>
      <c r="X15" s="17">
        <v>18.100000000000001</v>
      </c>
      <c r="Y15" s="13">
        <v>519475</v>
      </c>
      <c r="Z15" s="13">
        <v>1.24</v>
      </c>
      <c r="AA15" s="18">
        <v>1129800169</v>
      </c>
      <c r="AB15" s="18">
        <f t="shared" si="4"/>
        <v>4067280608.4000006</v>
      </c>
      <c r="AC15" s="18">
        <f t="shared" si="5"/>
        <v>2706.6527612741247</v>
      </c>
      <c r="AD15" s="13">
        <f t="shared" si="6"/>
        <v>10209018248.028601</v>
      </c>
      <c r="AE15" s="13">
        <f t="shared" si="7"/>
        <v>2273936495.271925</v>
      </c>
      <c r="AF15" s="13">
        <f t="shared" si="26"/>
        <v>12482954743.300526</v>
      </c>
      <c r="AG15" s="30" t="s">
        <v>114</v>
      </c>
      <c r="AH15" s="29" t="s">
        <v>114</v>
      </c>
      <c r="AI15" s="13">
        <f t="shared" si="8"/>
        <v>4580148.2059824802</v>
      </c>
      <c r="AJ15" s="36">
        <f t="shared" si="9"/>
        <v>10.972622530000001</v>
      </c>
      <c r="AK15" s="13">
        <f t="shared" si="10"/>
        <v>3576947.7539119171</v>
      </c>
      <c r="AL15" s="13">
        <f t="shared" si="11"/>
        <v>6719812.4060743563</v>
      </c>
      <c r="AM15" s="13">
        <f t="shared" si="20"/>
        <v>5148380.0799931362</v>
      </c>
      <c r="AN15" s="36">
        <f t="shared" si="12"/>
        <v>15.793138492714757</v>
      </c>
      <c r="AO15" s="13">
        <f t="shared" si="13"/>
        <v>46.716047251420747</v>
      </c>
      <c r="AP15" s="13">
        <f t="shared" si="14"/>
        <v>764.76009450367008</v>
      </c>
      <c r="AQ15" s="13">
        <f t="shared" si="21"/>
        <v>1100.7361324219439</v>
      </c>
      <c r="AR15" s="20">
        <v>69.510000000000005</v>
      </c>
      <c r="AS15" s="20">
        <f t="shared" si="15"/>
        <v>1029894.11997088</v>
      </c>
      <c r="AT15" s="20">
        <f t="shared" si="16"/>
        <v>1032791.9971576</v>
      </c>
      <c r="AU15" s="20">
        <f t="shared" si="22"/>
        <v>6.7787701369863012</v>
      </c>
      <c r="AV15" s="20">
        <v>712</v>
      </c>
      <c r="AW15" s="20">
        <f t="shared" si="23"/>
        <v>1.705732410832359</v>
      </c>
      <c r="AX15" s="14" t="s">
        <v>6</v>
      </c>
      <c r="AY15" s="21">
        <v>2.1</v>
      </c>
      <c r="AZ15" s="1">
        <v>7844</v>
      </c>
      <c r="BA15" s="125">
        <f t="shared" si="24"/>
        <v>1.8791804818214922E-2</v>
      </c>
      <c r="BB15" s="1">
        <v>442</v>
      </c>
      <c r="BC15" s="127">
        <f t="shared" si="25"/>
        <v>1.0588956820054814E-3</v>
      </c>
    </row>
    <row r="16" spans="1:55">
      <c r="A16" s="10">
        <v>9015</v>
      </c>
      <c r="B16" s="10" t="s">
        <v>21</v>
      </c>
      <c r="C16" s="10">
        <v>32.44</v>
      </c>
      <c r="D16" s="11">
        <v>532553</v>
      </c>
      <c r="E16" s="11">
        <f t="shared" si="27"/>
        <v>532553</v>
      </c>
      <c r="F16" s="11">
        <v>0</v>
      </c>
      <c r="G16" s="11">
        <v>0</v>
      </c>
      <c r="H16" s="11">
        <v>497452.68073238834</v>
      </c>
      <c r="I16" s="11">
        <f t="shared" si="18"/>
        <v>453339.21461490751</v>
      </c>
      <c r="J16" s="13">
        <v>214.7</v>
      </c>
      <c r="K16" s="13">
        <v>215.6</v>
      </c>
      <c r="L16" s="13">
        <f t="shared" si="19"/>
        <v>201.38990479051461</v>
      </c>
      <c r="M16" s="13">
        <f t="shared" si="0"/>
        <v>183.53090616515925</v>
      </c>
      <c r="N16" s="13">
        <v>5786</v>
      </c>
      <c r="O16" s="13">
        <f t="shared" si="1"/>
        <v>4925.3702368813147</v>
      </c>
      <c r="P16" s="14">
        <v>1300718.8</v>
      </c>
      <c r="Q16" s="14">
        <f t="shared" si="2"/>
        <v>2.4424213176904459</v>
      </c>
      <c r="R16" s="15">
        <f t="shared" si="3"/>
        <v>40096.140567200993</v>
      </c>
      <c r="S16" s="23">
        <v>31.5</v>
      </c>
      <c r="T16" s="23">
        <v>4.4000000000000004</v>
      </c>
      <c r="U16" s="16">
        <v>33.1</v>
      </c>
      <c r="V16" s="17">
        <v>75.599999999999994</v>
      </c>
      <c r="W16" s="17">
        <v>20.9</v>
      </c>
      <c r="X16" s="17">
        <v>10.6</v>
      </c>
      <c r="Y16" s="13">
        <v>534644</v>
      </c>
      <c r="Z16" s="13">
        <v>1</v>
      </c>
      <c r="AA16" s="18">
        <v>1583450868</v>
      </c>
      <c r="AB16" s="18">
        <f t="shared" si="4"/>
        <v>5700423124.8000002</v>
      </c>
      <c r="AC16" s="18">
        <f t="shared" si="5"/>
        <v>2973.3207173746086</v>
      </c>
      <c r="AD16" s="13">
        <f t="shared" si="6"/>
        <v>10507128066.218784</v>
      </c>
      <c r="AE16" s="13">
        <f t="shared" si="7"/>
        <v>2340336885.4673719</v>
      </c>
      <c r="AF16" s="13">
        <f t="shared" si="26"/>
        <v>12847464951.686157</v>
      </c>
      <c r="AG16" s="30">
        <v>321.55</v>
      </c>
      <c r="AH16" s="30">
        <v>154.38</v>
      </c>
      <c r="AI16" s="13">
        <f t="shared" si="8"/>
        <v>5843503.04621909</v>
      </c>
      <c r="AJ16" s="36">
        <f t="shared" si="9"/>
        <v>10.972622530000001</v>
      </c>
      <c r="AK16" s="13">
        <f t="shared" si="10"/>
        <v>4974320.0800160393</v>
      </c>
      <c r="AL16" s="13">
        <f t="shared" si="11"/>
        <v>9344977.921167504</v>
      </c>
      <c r="AM16" s="13">
        <f t="shared" si="20"/>
        <v>7159649.0005917717</v>
      </c>
      <c r="AN16" s="36">
        <f t="shared" si="12"/>
        <v>15.793138492714755</v>
      </c>
      <c r="AO16" s="13">
        <f t="shared" si="13"/>
        <v>59.92081885221171</v>
      </c>
      <c r="AP16" s="13">
        <f t="shared" si="14"/>
        <v>1009.9383073313326</v>
      </c>
      <c r="AQ16" s="13">
        <f t="shared" si="21"/>
        <v>1453.6265613049986</v>
      </c>
      <c r="AR16" s="20">
        <v>153.35</v>
      </c>
      <c r="AS16" s="20">
        <f t="shared" si="15"/>
        <v>1313972.63946004</v>
      </c>
      <c r="AT16" s="20">
        <f t="shared" si="16"/>
        <v>1317669.8460583</v>
      </c>
      <c r="AU16" s="20">
        <f t="shared" si="22"/>
        <v>6.7787701369863012</v>
      </c>
      <c r="AV16" s="20">
        <v>1316</v>
      </c>
      <c r="AW16" s="20">
        <f t="shared" si="23"/>
        <v>2.4711155509404699</v>
      </c>
      <c r="AX16" s="14" t="s">
        <v>6</v>
      </c>
      <c r="AY16" s="21">
        <v>2</v>
      </c>
      <c r="AZ16" s="1">
        <v>11786</v>
      </c>
      <c r="BA16" s="125">
        <f t="shared" si="24"/>
        <v>2.2131130610474451E-2</v>
      </c>
      <c r="BB16" s="1">
        <v>927</v>
      </c>
      <c r="BC16" s="127">
        <f t="shared" si="25"/>
        <v>1.7406718204573065E-3</v>
      </c>
    </row>
    <row r="17" spans="1:55">
      <c r="A17" s="10">
        <v>9016</v>
      </c>
      <c r="B17" s="10" t="s">
        <v>22</v>
      </c>
      <c r="C17" s="10">
        <v>46.99</v>
      </c>
      <c r="D17" s="11">
        <v>364439</v>
      </c>
      <c r="E17" s="11">
        <f t="shared" si="27"/>
        <v>364439</v>
      </c>
      <c r="F17" s="11">
        <v>0</v>
      </c>
      <c r="G17" s="11">
        <v>0</v>
      </c>
      <c r="H17" s="11">
        <v>354616.47758298292</v>
      </c>
      <c r="I17" s="11">
        <f t="shared" si="18"/>
        <v>323169.54288051848</v>
      </c>
      <c r="J17" s="13">
        <v>174.9</v>
      </c>
      <c r="K17" s="13">
        <v>186.7</v>
      </c>
      <c r="L17" s="13">
        <f t="shared" si="19"/>
        <v>181.66797835781273</v>
      </c>
      <c r="M17" s="13">
        <f t="shared" si="0"/>
        <v>165.5578948899344</v>
      </c>
      <c r="N17" s="13">
        <v>3197</v>
      </c>
      <c r="O17" s="13">
        <f t="shared" si="1"/>
        <v>2834.9683447408688</v>
      </c>
      <c r="P17" s="14">
        <v>946700</v>
      </c>
      <c r="Q17" s="14">
        <f t="shared" si="2"/>
        <v>2.5976912459972725</v>
      </c>
      <c r="R17" s="15">
        <f t="shared" si="3"/>
        <v>20146.839753138964</v>
      </c>
      <c r="S17" s="23">
        <v>32.299999999999997</v>
      </c>
      <c r="T17" s="23">
        <v>3</v>
      </c>
      <c r="U17" s="16">
        <v>25</v>
      </c>
      <c r="V17" s="17">
        <v>82.1</v>
      </c>
      <c r="W17" s="17">
        <v>12.1</v>
      </c>
      <c r="X17" s="17">
        <v>25.6</v>
      </c>
      <c r="Y17" s="13">
        <v>526632</v>
      </c>
      <c r="Z17" s="13">
        <v>1.43</v>
      </c>
      <c r="AA17" s="18">
        <v>1740209917</v>
      </c>
      <c r="AB17" s="18">
        <f t="shared" si="4"/>
        <v>6264755701.1999989</v>
      </c>
      <c r="AC17" s="18">
        <f t="shared" si="5"/>
        <v>4775.0375700734558</v>
      </c>
      <c r="AD17" s="13">
        <f t="shared" si="6"/>
        <v>10349671683.903551</v>
      </c>
      <c r="AE17" s="13">
        <f t="shared" si="7"/>
        <v>2305265362.8722157</v>
      </c>
      <c r="AF17" s="13">
        <f t="shared" si="26"/>
        <v>12654937046.775766</v>
      </c>
      <c r="AG17" s="30" t="s">
        <v>114</v>
      </c>
      <c r="AH17" s="30" t="s">
        <v>114</v>
      </c>
      <c r="AI17" s="13">
        <f t="shared" si="8"/>
        <v>3998851.5822106702</v>
      </c>
      <c r="AJ17" s="36">
        <f t="shared" si="9"/>
        <v>10.972622530000001</v>
      </c>
      <c r="AK17" s="13">
        <f t="shared" si="10"/>
        <v>3546017.4072205783</v>
      </c>
      <c r="AL17" s="13">
        <f t="shared" si="11"/>
        <v>6661705.2874581199</v>
      </c>
      <c r="AM17" s="13">
        <f t="shared" si="20"/>
        <v>5103861.3473393489</v>
      </c>
      <c r="AN17" s="36">
        <f t="shared" si="12"/>
        <v>15.793138492714757</v>
      </c>
      <c r="AO17" s="13">
        <f t="shared" si="13"/>
        <v>66.590461048703219</v>
      </c>
      <c r="AP17" s="13">
        <f t="shared" si="14"/>
        <v>1250.8137573383392</v>
      </c>
      <c r="AQ17" s="13">
        <f t="shared" si="21"/>
        <v>1800.3239284161632</v>
      </c>
      <c r="AR17" s="20">
        <v>158.66</v>
      </c>
      <c r="AS17" s="20">
        <f t="shared" si="15"/>
        <v>899183.50803051994</v>
      </c>
      <c r="AT17" s="20">
        <f t="shared" si="16"/>
        <v>901713.59663290007</v>
      </c>
      <c r="AU17" s="20">
        <f t="shared" si="22"/>
        <v>6.7787701369863012</v>
      </c>
      <c r="AV17" s="20">
        <v>827</v>
      </c>
      <c r="AW17" s="20">
        <f t="shared" si="23"/>
        <v>2.2692412173230636</v>
      </c>
      <c r="AX17" s="14" t="s">
        <v>6</v>
      </c>
      <c r="AY17" s="21">
        <v>1.94</v>
      </c>
      <c r="AZ17" s="1">
        <v>8016</v>
      </c>
      <c r="BA17" s="125">
        <f t="shared" si="24"/>
        <v>2.1995450541791632E-2</v>
      </c>
      <c r="BB17" s="1">
        <v>502</v>
      </c>
      <c r="BC17" s="127">
        <f t="shared" si="25"/>
        <v>1.3774596022928392E-3</v>
      </c>
    </row>
    <row r="18" spans="1:55">
      <c r="A18" s="10">
        <v>9017</v>
      </c>
      <c r="B18" s="10" t="s">
        <v>23</v>
      </c>
      <c r="C18" s="10">
        <v>33.42</v>
      </c>
      <c r="D18" s="11">
        <v>427263</v>
      </c>
      <c r="E18" s="11">
        <f t="shared" si="27"/>
        <v>427263</v>
      </c>
      <c r="F18" s="11">
        <v>0</v>
      </c>
      <c r="G18" s="11">
        <v>0</v>
      </c>
      <c r="H18" s="11">
        <v>391368.01015884004</v>
      </c>
      <c r="I18" s="11">
        <f t="shared" si="18"/>
        <v>356661.99665381759</v>
      </c>
      <c r="J18" s="13">
        <v>222.8</v>
      </c>
      <c r="K18" s="13">
        <v>209.5</v>
      </c>
      <c r="L18" s="13">
        <f t="shared" si="19"/>
        <v>191.89959844001703</v>
      </c>
      <c r="M18" s="13">
        <f t="shared" si="0"/>
        <v>174.88218801762565</v>
      </c>
      <c r="N18" s="13">
        <v>3759</v>
      </c>
      <c r="O18" s="13">
        <f t="shared" si="1"/>
        <v>3137.8622661491877</v>
      </c>
      <c r="P18" s="14">
        <v>84117.35</v>
      </c>
      <c r="Q18" s="14">
        <f t="shared" si="2"/>
        <v>0.19687487566206296</v>
      </c>
      <c r="R18" s="15">
        <f t="shared" si="3"/>
        <v>2516.9763614602034</v>
      </c>
      <c r="S18" s="23">
        <v>26.7</v>
      </c>
      <c r="T18" s="23">
        <v>4.5</v>
      </c>
      <c r="U18" s="16">
        <v>40.1</v>
      </c>
      <c r="V18" s="17">
        <v>80.900000000000006</v>
      </c>
      <c r="W18" s="17">
        <v>28.4</v>
      </c>
      <c r="X18" s="17">
        <v>4.9000000000000004</v>
      </c>
      <c r="Y18" s="13">
        <v>289303</v>
      </c>
      <c r="Z18" s="13">
        <v>0.95</v>
      </c>
      <c r="AA18" s="18">
        <v>739210653</v>
      </c>
      <c r="AB18" s="18">
        <f t="shared" si="4"/>
        <v>2661158350.8000002</v>
      </c>
      <c r="AC18" s="18">
        <f t="shared" si="5"/>
        <v>1730.1068732841366</v>
      </c>
      <c r="AD18" s="13">
        <f t="shared" si="6"/>
        <v>5685547150.8916082</v>
      </c>
      <c r="AE18" s="13">
        <f t="shared" si="7"/>
        <v>1266387506.408689</v>
      </c>
      <c r="AF18" s="13">
        <f t="shared" si="26"/>
        <v>6951934657.3002968</v>
      </c>
      <c r="AG18" s="30" t="s">
        <v>114</v>
      </c>
      <c r="AH18" s="30" t="s">
        <v>114</v>
      </c>
      <c r="AI18" s="13">
        <f t="shared" si="8"/>
        <v>4688195.6200353904</v>
      </c>
      <c r="AJ18" s="36">
        <f t="shared" si="9"/>
        <v>10.972622530000001</v>
      </c>
      <c r="AK18" s="13">
        <f t="shared" si="10"/>
        <v>3913517.4600784639</v>
      </c>
      <c r="AL18" s="13">
        <f t="shared" si="11"/>
        <v>7352107.1564053539</v>
      </c>
      <c r="AM18" s="13">
        <f t="shared" si="20"/>
        <v>5632812.3082419094</v>
      </c>
      <c r="AN18" s="36">
        <f t="shared" si="12"/>
        <v>15.793138492714759</v>
      </c>
      <c r="AO18" s="13">
        <f t="shared" si="13"/>
        <v>56.821680498687329</v>
      </c>
      <c r="AP18" s="13">
        <f t="shared" si="14"/>
        <v>1247.1922373065684</v>
      </c>
      <c r="AQ18" s="13">
        <f t="shared" si="21"/>
        <v>1795.1113944700148</v>
      </c>
      <c r="AR18" s="20">
        <v>23.95</v>
      </c>
      <c r="AS18" s="20">
        <f t="shared" si="15"/>
        <v>1054189.7085428399</v>
      </c>
      <c r="AT18" s="20">
        <f t="shared" si="16"/>
        <v>1057155.9477393001</v>
      </c>
      <c r="AU18" s="20">
        <f t="shared" si="22"/>
        <v>6.7787701369863012</v>
      </c>
      <c r="AV18" s="20">
        <v>857</v>
      </c>
      <c r="AW18" s="20">
        <f t="shared" si="23"/>
        <v>2.005790344588696</v>
      </c>
      <c r="AX18" s="14" t="s">
        <v>6</v>
      </c>
      <c r="AY18" s="21">
        <v>1.75</v>
      </c>
      <c r="AZ18" s="1">
        <v>10681</v>
      </c>
      <c r="BA18" s="125">
        <f t="shared" si="24"/>
        <v>2.4998654224681286E-2</v>
      </c>
      <c r="BB18" s="1">
        <v>759</v>
      </c>
      <c r="BC18" s="127">
        <f t="shared" si="25"/>
        <v>1.7764234207034075E-3</v>
      </c>
    </row>
    <row r="19" spans="1:55">
      <c r="A19" s="10">
        <v>13069</v>
      </c>
      <c r="B19" s="10" t="s">
        <v>24</v>
      </c>
      <c r="C19" s="10">
        <v>92.5</v>
      </c>
      <c r="D19" s="11">
        <v>119442</v>
      </c>
      <c r="E19" s="11">
        <v>75354</v>
      </c>
      <c r="F19" s="11">
        <v>35708</v>
      </c>
      <c r="G19" s="11">
        <v>8380</v>
      </c>
      <c r="H19" s="11">
        <v>158151.0850549406</v>
      </c>
      <c r="I19" s="11">
        <f>3800757*(((H19*100)/3404155)/100)</f>
        <v>176576.52004099722</v>
      </c>
      <c r="J19" s="13">
        <v>35.9</v>
      </c>
      <c r="K19" s="13">
        <v>57.5</v>
      </c>
      <c r="L19" s="13">
        <f t="shared" si="19"/>
        <v>76.134754865617495</v>
      </c>
      <c r="M19" s="13">
        <f t="shared" si="0"/>
        <v>85.004855095840156</v>
      </c>
      <c r="N19" s="13">
        <v>7613</v>
      </c>
      <c r="O19" s="13">
        <f t="shared" si="1"/>
        <v>11254.642814689238</v>
      </c>
      <c r="P19" s="14">
        <v>25397.25</v>
      </c>
      <c r="Q19" s="14">
        <f t="shared" si="2"/>
        <v>0.21263249108353846</v>
      </c>
      <c r="R19" s="15">
        <f t="shared" si="3"/>
        <v>274.56486486486489</v>
      </c>
      <c r="S19" s="24">
        <v>34.439458735599999</v>
      </c>
      <c r="T19" s="24">
        <v>2.8</v>
      </c>
      <c r="U19" s="16">
        <v>56.1</v>
      </c>
      <c r="V19" s="17">
        <v>77.599999999999994</v>
      </c>
      <c r="W19" s="17">
        <v>31.8</v>
      </c>
      <c r="X19" s="17">
        <v>4.5</v>
      </c>
      <c r="Y19" s="13">
        <v>21479</v>
      </c>
      <c r="Z19" s="13">
        <v>0.18</v>
      </c>
      <c r="AA19" s="18">
        <v>217699538</v>
      </c>
      <c r="AB19" s="18">
        <f t="shared" si="4"/>
        <v>783718336.79999995</v>
      </c>
      <c r="AC19" s="18">
        <f t="shared" si="5"/>
        <v>1822.6380837561326</v>
      </c>
      <c r="AD19" s="13">
        <f t="shared" si="6"/>
        <v>422117528.17634398</v>
      </c>
      <c r="AE19" s="13">
        <f t="shared" si="7"/>
        <v>94021621.794976994</v>
      </c>
      <c r="AF19" s="13">
        <f t="shared" si="26"/>
        <v>516139149.97132099</v>
      </c>
      <c r="AG19" s="30" t="s">
        <v>114</v>
      </c>
      <c r="AH19" s="30" t="s">
        <v>114</v>
      </c>
      <c r="AI19" s="13">
        <f t="shared" si="8"/>
        <v>1166109.3130297114</v>
      </c>
      <c r="AJ19" s="36">
        <f t="shared" si="9"/>
        <v>9.7629754443973766</v>
      </c>
      <c r="AK19" s="13">
        <f t="shared" si="10"/>
        <v>1723912.229217397</v>
      </c>
      <c r="AL19" s="13">
        <f t="shared" si="11"/>
        <v>3238617.8333773981</v>
      </c>
      <c r="AM19" s="13">
        <f t="shared" si="20"/>
        <v>2481265.0312973978</v>
      </c>
      <c r="AN19" s="36">
        <f t="shared" si="12"/>
        <v>14.052066666175675</v>
      </c>
      <c r="AO19" s="13">
        <f t="shared" si="13"/>
        <v>177.72849399195917</v>
      </c>
      <c r="AP19" s="13">
        <f t="shared" si="14"/>
        <v>153.17342874421533</v>
      </c>
      <c r="AQ19" s="13">
        <f t="shared" si="21"/>
        <v>220.46590657314525</v>
      </c>
      <c r="AR19" s="41" t="s">
        <v>130</v>
      </c>
      <c r="AS19" s="20">
        <v>874297</v>
      </c>
      <c r="AT19" s="20">
        <f>(E19*8.5940237)+(F19*6.4455178)+(G19*4.2970119)</f>
        <v>913759.5712142</v>
      </c>
      <c r="AU19" s="20">
        <f t="shared" si="22"/>
        <v>20.959552586518175</v>
      </c>
      <c r="AV19" s="20">
        <v>237.5</v>
      </c>
      <c r="AW19" s="20">
        <f t="shared" si="23"/>
        <v>1.9884127861221346</v>
      </c>
      <c r="AX19" s="14" t="s">
        <v>4</v>
      </c>
      <c r="AY19" s="21">
        <v>1.4</v>
      </c>
      <c r="AZ19" s="1">
        <v>1328</v>
      </c>
      <c r="BA19" s="125">
        <f t="shared" si="24"/>
        <v>1.1118367073558715E-2</v>
      </c>
      <c r="BB19" s="1">
        <v>167</v>
      </c>
      <c r="BC19" s="127">
        <f t="shared" si="25"/>
        <v>1.3981681485574588E-3</v>
      </c>
    </row>
    <row r="20" spans="1:55">
      <c r="A20" s="10">
        <v>15002</v>
      </c>
      <c r="B20" s="10" t="s">
        <v>25</v>
      </c>
      <c r="C20" s="10">
        <v>87.08</v>
      </c>
      <c r="D20" s="11">
        <v>152506</v>
      </c>
      <c r="E20" s="11">
        <v>114657</v>
      </c>
      <c r="F20" s="11">
        <v>33904</v>
      </c>
      <c r="G20" s="11">
        <v>3945</v>
      </c>
      <c r="H20" s="11">
        <v>234007.15204599206</v>
      </c>
      <c r="I20" s="11">
        <f>19852030*(((H20*100)/18887349)/100)</f>
        <v>245959.18689444431</v>
      </c>
      <c r="J20" s="13">
        <v>32.5</v>
      </c>
      <c r="K20" s="13">
        <v>78.8</v>
      </c>
      <c r="L20" s="13">
        <f t="shared" si="19"/>
        <v>120.91172531719521</v>
      </c>
      <c r="M20" s="13">
        <f t="shared" si="0"/>
        <v>127.08735346335364</v>
      </c>
      <c r="N20" s="13">
        <v>5138</v>
      </c>
      <c r="O20" s="13">
        <f t="shared" si="1"/>
        <v>8286.4825138922715</v>
      </c>
      <c r="P20" s="14">
        <v>11765.4</v>
      </c>
      <c r="Q20" s="14">
        <f t="shared" si="2"/>
        <v>7.7147128637561804E-2</v>
      </c>
      <c r="R20" s="15">
        <f t="shared" si="3"/>
        <v>135.1102434542949</v>
      </c>
      <c r="S20" s="24">
        <v>56.185568223700002</v>
      </c>
      <c r="T20" s="24">
        <v>4.4000000000000004</v>
      </c>
      <c r="U20" s="16">
        <v>58</v>
      </c>
      <c r="V20" s="17">
        <v>79.12</v>
      </c>
      <c r="W20" s="17">
        <v>50.4</v>
      </c>
      <c r="X20" s="17">
        <v>1.9</v>
      </c>
      <c r="Y20" s="13">
        <v>41587</v>
      </c>
      <c r="Z20" s="13">
        <v>0.27</v>
      </c>
      <c r="AA20" s="18">
        <v>92148330</v>
      </c>
      <c r="AB20" s="18">
        <f t="shared" si="4"/>
        <v>331733988</v>
      </c>
      <c r="AC20" s="18">
        <f t="shared" si="5"/>
        <v>604.22757137424105</v>
      </c>
      <c r="AD20" s="13">
        <f t="shared" si="6"/>
        <v>817291384.34143198</v>
      </c>
      <c r="AE20" s="13">
        <f t="shared" si="7"/>
        <v>182041863.47538099</v>
      </c>
      <c r="AF20" s="13">
        <f t="shared" si="26"/>
        <v>999333247.81681299</v>
      </c>
      <c r="AG20" s="30" t="s">
        <v>114</v>
      </c>
      <c r="AH20" s="30" t="s">
        <v>114</v>
      </c>
      <c r="AI20" s="13">
        <f t="shared" si="8"/>
        <v>1558301.4105624899</v>
      </c>
      <c r="AJ20" s="36">
        <f t="shared" si="9"/>
        <v>10.217967886919137</v>
      </c>
      <c r="AK20" s="13">
        <f t="shared" si="10"/>
        <v>2513203.0731801745</v>
      </c>
      <c r="AL20" s="13">
        <f t="shared" si="11"/>
        <v>4721414.5556558799</v>
      </c>
      <c r="AM20" s="13">
        <f t="shared" si="20"/>
        <v>3617308.8144180272</v>
      </c>
      <c r="AN20" s="36">
        <f t="shared" si="12"/>
        <v>14.706947360215617</v>
      </c>
      <c r="AO20" s="13">
        <f t="shared" si="13"/>
        <v>202.98468086168401</v>
      </c>
      <c r="AP20" s="13">
        <f t="shared" si="14"/>
        <v>303.28949212971776</v>
      </c>
      <c r="AQ20" s="13">
        <f t="shared" si="21"/>
        <v>436.53127950896129</v>
      </c>
      <c r="AR20" s="41" t="s">
        <v>130</v>
      </c>
      <c r="AS20" s="20">
        <f t="shared" ref="AS20:AS51" si="28">3.32632828*D20</f>
        <v>507285.02066967997</v>
      </c>
      <c r="AT20" s="20">
        <f t="shared" ref="AT20:AT51" si="29">((E20*3.5004142)+(F20*2.6253107)+(G20*1.7502071))</f>
        <v>497260.09191169997</v>
      </c>
      <c r="AU20" s="20">
        <f t="shared" si="22"/>
        <v>8.9331332288332153</v>
      </c>
      <c r="AV20" s="20">
        <v>36</v>
      </c>
      <c r="AW20" s="20">
        <f t="shared" si="23"/>
        <v>0.23605628631004683</v>
      </c>
      <c r="AX20" s="14" t="s">
        <v>17</v>
      </c>
      <c r="AY20" s="21">
        <v>1.42</v>
      </c>
      <c r="AZ20" s="1">
        <v>927</v>
      </c>
      <c r="BA20" s="125">
        <f t="shared" si="24"/>
        <v>6.0784493724837059E-3</v>
      </c>
      <c r="BB20" s="1">
        <v>78</v>
      </c>
      <c r="BC20" s="127">
        <f t="shared" si="25"/>
        <v>5.1145528700510139E-4</v>
      </c>
    </row>
    <row r="21" spans="1:55">
      <c r="A21" s="10">
        <v>15009</v>
      </c>
      <c r="B21" s="10" t="s">
        <v>26</v>
      </c>
      <c r="C21" s="10">
        <v>172.9</v>
      </c>
      <c r="D21" s="11">
        <v>50904</v>
      </c>
      <c r="E21" s="11">
        <v>33312</v>
      </c>
      <c r="F21" s="11">
        <v>7809</v>
      </c>
      <c r="G21" s="11">
        <v>9783</v>
      </c>
      <c r="H21" s="11">
        <v>60999.232879096977</v>
      </c>
      <c r="I21" s="11">
        <f t="shared" ref="I21:I78" si="30">19852030*(((H21*100)/18887349)/100)</f>
        <v>64114.799863804052</v>
      </c>
      <c r="J21" s="13">
        <v>45.4</v>
      </c>
      <c r="K21" s="13">
        <v>45.9</v>
      </c>
      <c r="L21" s="13">
        <f t="shared" si="19"/>
        <v>55.002844357035819</v>
      </c>
      <c r="M21" s="13">
        <f t="shared" si="0"/>
        <v>57.812142734335339</v>
      </c>
      <c r="N21" s="13">
        <v>1799</v>
      </c>
      <c r="O21" s="13">
        <f t="shared" si="1"/>
        <v>2265.883328520028</v>
      </c>
      <c r="P21" s="14">
        <v>1605.9</v>
      </c>
      <c r="Q21" s="14">
        <f t="shared" si="2"/>
        <v>3.1547619047619047E-2</v>
      </c>
      <c r="R21" s="15">
        <f t="shared" si="3"/>
        <v>9.2880277617119731</v>
      </c>
      <c r="S21" s="24">
        <v>57.569562697800002</v>
      </c>
      <c r="T21" s="24">
        <v>5.5</v>
      </c>
      <c r="U21" s="16">
        <v>57.8</v>
      </c>
      <c r="V21" s="17">
        <v>82.18</v>
      </c>
      <c r="W21" s="17">
        <v>57.8</v>
      </c>
      <c r="X21" s="17">
        <v>6.2</v>
      </c>
      <c r="Y21" s="13">
        <v>14407</v>
      </c>
      <c r="Z21" s="13">
        <v>0.28000000000000003</v>
      </c>
      <c r="AA21" s="18">
        <v>20354039</v>
      </c>
      <c r="AB21" s="18">
        <f t="shared" si="4"/>
        <v>73274540.400000006</v>
      </c>
      <c r="AC21" s="18">
        <f t="shared" si="5"/>
        <v>399.85146550369325</v>
      </c>
      <c r="AD21" s="13">
        <f t="shared" si="6"/>
        <v>283134560.66095197</v>
      </c>
      <c r="AE21" s="13">
        <f t="shared" si="7"/>
        <v>63064831.007040992</v>
      </c>
      <c r="AF21" s="13">
        <f t="shared" si="26"/>
        <v>346199391.66799295</v>
      </c>
      <c r="AG21" s="30">
        <v>418.22</v>
      </c>
      <c r="AH21" s="30">
        <v>145.12</v>
      </c>
      <c r="AI21" s="13">
        <f t="shared" si="8"/>
        <v>483167.03857119731</v>
      </c>
      <c r="AJ21" s="36">
        <f t="shared" si="9"/>
        <v>9.4917302878201575</v>
      </c>
      <c r="AK21" s="13">
        <f t="shared" si="10"/>
        <v>608560.38776479661</v>
      </c>
      <c r="AL21" s="13">
        <f t="shared" si="11"/>
        <v>1143268.486120584</v>
      </c>
      <c r="AM21" s="13">
        <f t="shared" si="20"/>
        <v>875914.43694269028</v>
      </c>
      <c r="AN21" s="36">
        <f t="shared" si="12"/>
        <v>13.661657508147147</v>
      </c>
      <c r="AO21" s="13">
        <f t="shared" si="13"/>
        <v>136.61971841072042</v>
      </c>
      <c r="AP21" s="13">
        <f t="shared" si="14"/>
        <v>268.57534106236648</v>
      </c>
      <c r="AQ21" s="13">
        <f t="shared" si="21"/>
        <v>386.56643346010128</v>
      </c>
      <c r="AR21" s="41" t="s">
        <v>130</v>
      </c>
      <c r="AS21" s="20">
        <f t="shared" si="28"/>
        <v>169323.41476511999</v>
      </c>
      <c r="AT21" s="20">
        <f t="shared" si="29"/>
        <v>154229.12514600001</v>
      </c>
      <c r="AU21" s="20">
        <f t="shared" si="22"/>
        <v>8.3008319256876764</v>
      </c>
      <c r="AV21" s="20">
        <v>47</v>
      </c>
      <c r="AW21" s="20">
        <f t="shared" si="23"/>
        <v>0.92330661637592326</v>
      </c>
      <c r="AX21" s="14" t="s">
        <v>13</v>
      </c>
      <c r="AY21" s="21">
        <v>1.43</v>
      </c>
      <c r="AZ21" s="1">
        <v>329</v>
      </c>
      <c r="BA21" s="125">
        <f t="shared" si="24"/>
        <v>6.4631463146314627E-3</v>
      </c>
      <c r="BB21" s="1">
        <v>28</v>
      </c>
      <c r="BC21" s="127">
        <f t="shared" si="25"/>
        <v>5.5005500550055003E-4</v>
      </c>
    </row>
    <row r="22" spans="1:55">
      <c r="A22" s="10">
        <v>15010</v>
      </c>
      <c r="B22" s="10" t="s">
        <v>27</v>
      </c>
      <c r="C22" s="10">
        <v>79.91</v>
      </c>
      <c r="D22" s="11">
        <v>29347</v>
      </c>
      <c r="E22" s="11">
        <v>0</v>
      </c>
      <c r="F22" s="11">
        <v>22038</v>
      </c>
      <c r="G22" s="11">
        <v>7309</v>
      </c>
      <c r="H22" s="11">
        <v>36113.343519569673</v>
      </c>
      <c r="I22" s="11">
        <f t="shared" si="30"/>
        <v>37957.850990671206</v>
      </c>
      <c r="J22" s="13">
        <v>41.4</v>
      </c>
      <c r="K22" s="13">
        <v>40.299999999999997</v>
      </c>
      <c r="L22" s="13">
        <f t="shared" si="19"/>
        <v>49.591704223213874</v>
      </c>
      <c r="M22" s="13">
        <f t="shared" si="0"/>
        <v>52.124625853547187</v>
      </c>
      <c r="N22" s="13">
        <v>1070</v>
      </c>
      <c r="O22" s="13">
        <f t="shared" si="1"/>
        <v>1383.9540859378537</v>
      </c>
      <c r="P22" s="14">
        <v>5051.1000000000004</v>
      </c>
      <c r="Q22" s="14">
        <f t="shared" si="2"/>
        <v>0.17211640031349032</v>
      </c>
      <c r="R22" s="15">
        <f t="shared" si="3"/>
        <v>63.209861093730453</v>
      </c>
      <c r="S22" s="24">
        <v>46.070375543499999</v>
      </c>
      <c r="T22" s="24">
        <v>3.2</v>
      </c>
      <c r="U22" s="16">
        <v>62.8</v>
      </c>
      <c r="V22" s="17">
        <v>75</v>
      </c>
      <c r="W22" s="17">
        <v>44</v>
      </c>
      <c r="X22" s="17">
        <v>4.9000000000000004</v>
      </c>
      <c r="Y22" s="13">
        <v>13870</v>
      </c>
      <c r="Z22" s="13">
        <v>0.47</v>
      </c>
      <c r="AA22" s="18">
        <v>59434879</v>
      </c>
      <c r="AB22" s="18">
        <f t="shared" si="4"/>
        <v>213965564.40000001</v>
      </c>
      <c r="AC22" s="18">
        <f t="shared" si="5"/>
        <v>2025.2454765393397</v>
      </c>
      <c r="AD22" s="13">
        <f t="shared" si="6"/>
        <v>272581131.14231998</v>
      </c>
      <c r="AE22" s="13">
        <f t="shared" si="7"/>
        <v>60714181.027809992</v>
      </c>
      <c r="AF22" s="13">
        <f t="shared" si="26"/>
        <v>333295312.17012995</v>
      </c>
      <c r="AG22" s="30" t="s">
        <v>130</v>
      </c>
      <c r="AH22" s="30" t="s">
        <v>114</v>
      </c>
      <c r="AI22" s="13">
        <f t="shared" si="8"/>
        <v>221072.85336376319</v>
      </c>
      <c r="AJ22" s="36">
        <f t="shared" si="9"/>
        <v>7.5330648231084334</v>
      </c>
      <c r="AK22" s="13">
        <f t="shared" si="10"/>
        <v>285938.95205861685</v>
      </c>
      <c r="AL22" s="13">
        <f t="shared" si="11"/>
        <v>537177.57418234576</v>
      </c>
      <c r="AM22" s="13">
        <f t="shared" si="20"/>
        <v>411558.26312048128</v>
      </c>
      <c r="AN22" s="36">
        <f t="shared" si="12"/>
        <v>10.84250694860541</v>
      </c>
      <c r="AO22" s="13">
        <f t="shared" si="13"/>
        <v>142.98667430616175</v>
      </c>
      <c r="AP22" s="13">
        <f t="shared" si="14"/>
        <v>206.61014333061979</v>
      </c>
      <c r="AQ22" s="13">
        <f t="shared" si="21"/>
        <v>297.37855272964759</v>
      </c>
      <c r="AR22" s="41" t="s">
        <v>130</v>
      </c>
      <c r="AS22" s="20">
        <f t="shared" si="28"/>
        <v>97617.756033159996</v>
      </c>
      <c r="AT22" s="20">
        <f t="shared" si="29"/>
        <v>70648.860900500003</v>
      </c>
      <c r="AU22" s="20">
        <f t="shared" si="22"/>
        <v>6.5955131023637339</v>
      </c>
      <c r="AV22" s="20">
        <v>22</v>
      </c>
      <c r="AW22" s="20">
        <f t="shared" si="23"/>
        <v>0.74965073090946266</v>
      </c>
      <c r="AX22" s="14" t="s">
        <v>17</v>
      </c>
      <c r="AY22" s="21">
        <v>1.5</v>
      </c>
      <c r="AZ22" s="1">
        <v>109</v>
      </c>
      <c r="BA22" s="125">
        <f t="shared" si="24"/>
        <v>3.7141786213241556E-3</v>
      </c>
      <c r="BB22" s="1">
        <v>38</v>
      </c>
      <c r="BC22" s="127">
        <f t="shared" si="25"/>
        <v>1.294851262479981E-3</v>
      </c>
    </row>
    <row r="23" spans="1:55">
      <c r="A23" s="10">
        <v>15011</v>
      </c>
      <c r="B23" s="10" t="s">
        <v>28</v>
      </c>
      <c r="C23" s="10">
        <v>87.58</v>
      </c>
      <c r="D23" s="11">
        <v>63392</v>
      </c>
      <c r="E23" s="11">
        <v>18996</v>
      </c>
      <c r="F23" s="11">
        <v>39907</v>
      </c>
      <c r="G23" s="11">
        <v>3489</v>
      </c>
      <c r="H23" s="11">
        <v>83897.225572844691</v>
      </c>
      <c r="I23" s="11">
        <f t="shared" si="30"/>
        <v>88182.319233306902</v>
      </c>
      <c r="J23" s="13">
        <v>48.2</v>
      </c>
      <c r="K23" s="13">
        <v>52.1</v>
      </c>
      <c r="L23" s="13">
        <f t="shared" si="19"/>
        <v>68.95263522755566</v>
      </c>
      <c r="M23" s="13">
        <f t="shared" si="0"/>
        <v>72.474426300720737</v>
      </c>
      <c r="N23" s="13">
        <v>8101</v>
      </c>
      <c r="O23" s="13">
        <f t="shared" si="1"/>
        <v>11269.008204647578</v>
      </c>
      <c r="P23" s="14">
        <v>886.3</v>
      </c>
      <c r="Q23" s="14">
        <f t="shared" si="2"/>
        <v>1.3981259464916709E-2</v>
      </c>
      <c r="R23" s="15">
        <f t="shared" si="3"/>
        <v>10.119890385932861</v>
      </c>
      <c r="S23" s="24">
        <v>59.3383291926</v>
      </c>
      <c r="T23" s="24">
        <v>4.2</v>
      </c>
      <c r="U23" s="16">
        <v>64.2</v>
      </c>
      <c r="V23" s="17">
        <v>79.5</v>
      </c>
      <c r="W23" s="17">
        <v>67.7</v>
      </c>
      <c r="X23" s="17">
        <v>1.5</v>
      </c>
      <c r="Y23" s="13">
        <v>16316</v>
      </c>
      <c r="Z23" s="13">
        <v>0.26</v>
      </c>
      <c r="AA23" s="18">
        <v>19157289</v>
      </c>
      <c r="AB23" s="18">
        <f t="shared" si="4"/>
        <v>68966240.400000006</v>
      </c>
      <c r="AC23" s="18">
        <f t="shared" si="5"/>
        <v>302.20357458354368</v>
      </c>
      <c r="AD23" s="13">
        <f t="shared" si="6"/>
        <v>320651314.759776</v>
      </c>
      <c r="AE23" s="13">
        <f t="shared" si="7"/>
        <v>71421238.475107998</v>
      </c>
      <c r="AF23" s="13">
        <f t="shared" si="26"/>
        <v>392072553.23488402</v>
      </c>
      <c r="AG23" s="30">
        <v>150</v>
      </c>
      <c r="AH23" s="30">
        <v>150</v>
      </c>
      <c r="AI23" s="13">
        <f t="shared" si="8"/>
        <v>555495.26819467999</v>
      </c>
      <c r="AJ23" s="36">
        <f t="shared" si="9"/>
        <v>8.7628607425965424</v>
      </c>
      <c r="AK23" s="13">
        <f t="shared" si="10"/>
        <v>772729.38340066106</v>
      </c>
      <c r="AL23" s="13">
        <f t="shared" si="11"/>
        <v>1451683.6292716558</v>
      </c>
      <c r="AM23" s="13">
        <f t="shared" si="20"/>
        <v>1112206.5063361584</v>
      </c>
      <c r="AN23" s="36">
        <f t="shared" si="12"/>
        <v>12.612579437761855</v>
      </c>
      <c r="AO23" s="13">
        <f t="shared" si="13"/>
        <v>161.3314122349816</v>
      </c>
      <c r="AP23" s="13">
        <f t="shared" si="14"/>
        <v>68.571197160187623</v>
      </c>
      <c r="AQ23" s="13">
        <f t="shared" si="21"/>
        <v>98.696041935390625</v>
      </c>
      <c r="AR23" s="41" t="s">
        <v>130</v>
      </c>
      <c r="AS23" s="20">
        <f t="shared" si="28"/>
        <v>210862.60232575997</v>
      </c>
      <c r="AT23" s="20">
        <f t="shared" si="29"/>
        <v>177368.61482000002</v>
      </c>
      <c r="AU23" s="20">
        <f t="shared" si="22"/>
        <v>7.6656582923042889</v>
      </c>
      <c r="AV23" s="20">
        <v>70</v>
      </c>
      <c r="AW23" s="20">
        <f t="shared" si="23"/>
        <v>1.1042402826855124</v>
      </c>
      <c r="AX23" s="14" t="s">
        <v>17</v>
      </c>
      <c r="AY23" s="21">
        <v>1.42</v>
      </c>
      <c r="AZ23" s="1">
        <v>303</v>
      </c>
      <c r="BA23" s="125">
        <f t="shared" si="24"/>
        <v>4.779782937910146E-3</v>
      </c>
      <c r="BB23" s="1">
        <v>51</v>
      </c>
      <c r="BC23" s="127">
        <f t="shared" si="25"/>
        <v>8.0451792024230188E-4</v>
      </c>
    </row>
    <row r="24" spans="1:55">
      <c r="A24" s="10">
        <v>15013</v>
      </c>
      <c r="B24" s="10" t="s">
        <v>29</v>
      </c>
      <c r="C24" s="10">
        <v>90.18</v>
      </c>
      <c r="D24" s="11">
        <v>523296</v>
      </c>
      <c r="E24" s="11">
        <v>522466</v>
      </c>
      <c r="F24" s="11">
        <v>0</v>
      </c>
      <c r="G24" s="11">
        <v>830</v>
      </c>
      <c r="H24" s="11">
        <v>620111.48601724487</v>
      </c>
      <c r="I24" s="11">
        <f t="shared" si="30"/>
        <v>651783.99698967417</v>
      </c>
      <c r="J24" s="13">
        <v>127.8</v>
      </c>
      <c r="K24" s="13">
        <v>130.80000000000001</v>
      </c>
      <c r="L24" s="13">
        <f t="shared" si="19"/>
        <v>154.99943124169809</v>
      </c>
      <c r="M24" s="13">
        <f t="shared" si="0"/>
        <v>162.91610638386192</v>
      </c>
      <c r="N24" s="13">
        <v>2836</v>
      </c>
      <c r="O24" s="13">
        <f t="shared" si="1"/>
        <v>3532.3400436133966</v>
      </c>
      <c r="P24" s="14">
        <v>51941.5</v>
      </c>
      <c r="Q24" s="14">
        <f t="shared" si="2"/>
        <v>9.925835473613405E-2</v>
      </c>
      <c r="R24" s="15">
        <f t="shared" si="3"/>
        <v>575.97582612552674</v>
      </c>
      <c r="S24" s="24">
        <v>34.200000000000003</v>
      </c>
      <c r="T24" s="24">
        <v>4.8</v>
      </c>
      <c r="U24" s="16">
        <v>48.5</v>
      </c>
      <c r="V24" s="17">
        <v>73.3</v>
      </c>
      <c r="W24" s="17">
        <v>28.1</v>
      </c>
      <c r="X24" s="17">
        <v>7.9</v>
      </c>
      <c r="Y24" s="13">
        <v>304034</v>
      </c>
      <c r="Z24" s="13">
        <v>0.57999999999999996</v>
      </c>
      <c r="AA24" s="18">
        <v>528895942</v>
      </c>
      <c r="AB24" s="18">
        <f t="shared" si="4"/>
        <v>1904025391.2</v>
      </c>
      <c r="AC24" s="18">
        <f t="shared" si="5"/>
        <v>1010.7012895187428</v>
      </c>
      <c r="AD24" s="13">
        <f t="shared" si="6"/>
        <v>5975049143.8878241</v>
      </c>
      <c r="AE24" s="13">
        <f t="shared" si="7"/>
        <v>1330870606.6769419</v>
      </c>
      <c r="AF24" s="13">
        <f t="shared" si="26"/>
        <v>7305919750.5647659</v>
      </c>
      <c r="AG24" s="30">
        <v>247.18</v>
      </c>
      <c r="AH24" s="30"/>
      <c r="AI24" s="13">
        <f t="shared" si="8"/>
        <v>5737358.2888748301</v>
      </c>
      <c r="AJ24" s="36">
        <f t="shared" si="9"/>
        <v>10.963887147761172</v>
      </c>
      <c r="AK24" s="13">
        <f t="shared" si="10"/>
        <v>7146086.187711495</v>
      </c>
      <c r="AL24" s="13">
        <f t="shared" si="11"/>
        <v>13424953.877658121</v>
      </c>
      <c r="AM24" s="13">
        <f t="shared" si="20"/>
        <v>10285520.032684809</v>
      </c>
      <c r="AN24" s="36">
        <f t="shared" si="12"/>
        <v>15.780565463695721</v>
      </c>
      <c r="AO24" s="13">
        <f t="shared" si="13"/>
        <v>133.99190362034943</v>
      </c>
      <c r="AP24" s="13">
        <f t="shared" si="14"/>
        <v>2023.0459410701094</v>
      </c>
      <c r="AQ24" s="13">
        <f t="shared" si="21"/>
        <v>2911.8148042630878</v>
      </c>
      <c r="AR24" s="20">
        <v>31.5</v>
      </c>
      <c r="AS24" s="20">
        <f t="shared" si="28"/>
        <v>1740654.2836108799</v>
      </c>
      <c r="AT24" s="20">
        <f t="shared" si="29"/>
        <v>1830300.0773101998</v>
      </c>
      <c r="AU24" s="20">
        <f t="shared" si="22"/>
        <v>9.5825703994564702</v>
      </c>
      <c r="AV24" s="20">
        <v>600</v>
      </c>
      <c r="AW24" s="20">
        <f t="shared" si="23"/>
        <v>1.1465786094294625</v>
      </c>
      <c r="AX24" s="14" t="s">
        <v>13</v>
      </c>
      <c r="AY24" s="21">
        <v>1.38</v>
      </c>
      <c r="AZ24" s="1">
        <v>2852</v>
      </c>
      <c r="BA24" s="125">
        <f t="shared" si="24"/>
        <v>5.4500703234880449E-3</v>
      </c>
      <c r="BB24" s="1">
        <v>420</v>
      </c>
      <c r="BC24" s="127">
        <f t="shared" si="25"/>
        <v>8.0260502660062369E-4</v>
      </c>
    </row>
    <row r="25" spans="1:55">
      <c r="A25" s="10">
        <v>15015</v>
      </c>
      <c r="B25" s="10" t="s">
        <v>30</v>
      </c>
      <c r="C25" s="10">
        <v>165.51</v>
      </c>
      <c r="D25" s="11">
        <v>30945</v>
      </c>
      <c r="E25" s="11">
        <v>0</v>
      </c>
      <c r="F25" s="11">
        <v>27963</v>
      </c>
      <c r="G25" s="11">
        <v>2982</v>
      </c>
      <c r="H25" s="11">
        <v>38293.590906937177</v>
      </c>
      <c r="I25" s="11">
        <f t="shared" si="30"/>
        <v>40249.455627269032</v>
      </c>
      <c r="J25" s="13">
        <v>37.700000000000003</v>
      </c>
      <c r="K25" s="13">
        <v>37.700000000000003</v>
      </c>
      <c r="L25" s="13">
        <f t="shared" si="19"/>
        <v>46.652718603701139</v>
      </c>
      <c r="M25" s="13">
        <f t="shared" si="0"/>
        <v>49.035530041946764</v>
      </c>
      <c r="N25" s="13">
        <v>1125</v>
      </c>
      <c r="O25" s="13">
        <f t="shared" si="1"/>
        <v>1463.2618381217535</v>
      </c>
      <c r="P25" s="14">
        <v>977.1</v>
      </c>
      <c r="Q25" s="14">
        <f t="shared" si="2"/>
        <v>3.157537566650509E-2</v>
      </c>
      <c r="R25" s="15">
        <f t="shared" si="3"/>
        <v>5.9035707812216787</v>
      </c>
      <c r="S25" s="24">
        <v>76.099999999999994</v>
      </c>
      <c r="T25" s="24">
        <v>4.4000000000000004</v>
      </c>
      <c r="U25" s="16">
        <v>69.599999999999994</v>
      </c>
      <c r="V25" s="17">
        <v>80.52</v>
      </c>
      <c r="W25" s="17">
        <v>81.2</v>
      </c>
      <c r="X25" s="17">
        <v>4.7</v>
      </c>
      <c r="Y25" s="13">
        <v>5156</v>
      </c>
      <c r="Z25" s="13">
        <v>0.16</v>
      </c>
      <c r="AA25" s="18">
        <v>5632791</v>
      </c>
      <c r="AB25" s="18">
        <f t="shared" si="4"/>
        <v>20278047.599999998</v>
      </c>
      <c r="AC25" s="18">
        <f t="shared" si="5"/>
        <v>182.0258846340281</v>
      </c>
      <c r="AD25" s="13">
        <f t="shared" si="6"/>
        <v>101328645.434016</v>
      </c>
      <c r="AE25" s="13">
        <f t="shared" si="7"/>
        <v>22569741.700027999</v>
      </c>
      <c r="AF25" s="13">
        <f t="shared" si="26"/>
        <v>123898387.13404401</v>
      </c>
      <c r="AG25" s="30" t="s">
        <v>130</v>
      </c>
      <c r="AH25" s="30" t="s">
        <v>130</v>
      </c>
      <c r="AI25" s="13">
        <f t="shared" si="8"/>
        <v>246122.03133914457</v>
      </c>
      <c r="AJ25" s="36">
        <f t="shared" si="9"/>
        <v>7.9535314699998247</v>
      </c>
      <c r="AK25" s="13">
        <f t="shared" si="10"/>
        <v>320125.31198184576</v>
      </c>
      <c r="AL25" s="13">
        <f t="shared" si="11"/>
        <v>601401.58340344718</v>
      </c>
      <c r="AM25" s="13">
        <f t="shared" si="20"/>
        <v>460763.44769264647</v>
      </c>
      <c r="AN25" s="36">
        <f t="shared" si="12"/>
        <v>11.447693900746298</v>
      </c>
      <c r="AO25" s="13">
        <f t="shared" si="13"/>
        <v>144.35097505543669</v>
      </c>
      <c r="AP25" s="13">
        <f t="shared" si="14"/>
        <v>218.77513896812852</v>
      </c>
      <c r="AQ25" s="13">
        <f t="shared" si="21"/>
        <v>314.88790022986149</v>
      </c>
      <c r="AR25" s="41" t="s">
        <v>130</v>
      </c>
      <c r="AS25" s="20">
        <f t="shared" si="28"/>
        <v>102933.2286246</v>
      </c>
      <c r="AT25" s="20">
        <f t="shared" si="29"/>
        <v>78630.680676300006</v>
      </c>
      <c r="AU25" s="20">
        <f t="shared" si="22"/>
        <v>6.9615938730270459</v>
      </c>
      <c r="AV25" s="20">
        <v>32</v>
      </c>
      <c r="AW25" s="20">
        <f t="shared" si="23"/>
        <v>1.0340927451930846</v>
      </c>
      <c r="AX25" s="14" t="s">
        <v>17</v>
      </c>
      <c r="AY25" s="21">
        <v>1.68</v>
      </c>
      <c r="AZ25" s="1">
        <v>91</v>
      </c>
      <c r="BA25" s="125">
        <f t="shared" si="24"/>
        <v>2.940701244142834E-3</v>
      </c>
      <c r="BB25" s="1">
        <v>10</v>
      </c>
      <c r="BC25" s="127">
        <f t="shared" si="25"/>
        <v>3.231539828728389E-4</v>
      </c>
    </row>
    <row r="26" spans="1:55">
      <c r="A26" s="10">
        <v>15016</v>
      </c>
      <c r="B26" s="10" t="s">
        <v>31</v>
      </c>
      <c r="C26" s="10">
        <v>269.01</v>
      </c>
      <c r="D26" s="11">
        <v>27709</v>
      </c>
      <c r="E26" s="11">
        <v>0</v>
      </c>
      <c r="F26" s="11">
        <v>16185</v>
      </c>
      <c r="G26" s="11">
        <v>11524</v>
      </c>
      <c r="H26" s="11">
        <v>35038.460405912927</v>
      </c>
      <c r="I26" s="11">
        <f t="shared" si="30"/>
        <v>36828.067672810816</v>
      </c>
      <c r="J26" s="13">
        <v>26.3</v>
      </c>
      <c r="K26" s="13">
        <v>23.6</v>
      </c>
      <c r="L26" s="13">
        <f t="shared" si="19"/>
        <v>29.842566154662567</v>
      </c>
      <c r="M26" s="13">
        <f t="shared" si="0"/>
        <v>31.366790468018888</v>
      </c>
      <c r="N26" s="13">
        <v>574</v>
      </c>
      <c r="O26" s="13">
        <f t="shared" si="1"/>
        <v>762.90414104418812</v>
      </c>
      <c r="P26" s="14">
        <v>251.4</v>
      </c>
      <c r="Q26" s="14">
        <f t="shared" si="2"/>
        <v>9.0728644122848173E-3</v>
      </c>
      <c r="R26" s="15">
        <f t="shared" si="3"/>
        <v>0.93453774952603996</v>
      </c>
      <c r="S26" s="24">
        <v>59.3</v>
      </c>
      <c r="T26" s="24">
        <v>3.3</v>
      </c>
      <c r="U26" s="16">
        <v>69.400000000000006</v>
      </c>
      <c r="V26" s="17">
        <v>88.7</v>
      </c>
      <c r="W26" s="17">
        <v>85.6</v>
      </c>
      <c r="X26" s="17">
        <v>0.6</v>
      </c>
      <c r="Y26" s="13">
        <v>8521</v>
      </c>
      <c r="Z26" s="13">
        <v>0.3</v>
      </c>
      <c r="AA26" s="18">
        <v>10474729</v>
      </c>
      <c r="AB26" s="18">
        <f t="shared" si="4"/>
        <v>37709024.399999999</v>
      </c>
      <c r="AC26" s="18">
        <f t="shared" si="5"/>
        <v>378.02623696271968</v>
      </c>
      <c r="AD26" s="13">
        <f t="shared" si="6"/>
        <v>167459539.90365601</v>
      </c>
      <c r="AE26" s="13">
        <f t="shared" si="7"/>
        <v>37299606.095022999</v>
      </c>
      <c r="AF26" s="13">
        <f t="shared" si="26"/>
        <v>204759145.99867901</v>
      </c>
      <c r="AG26" s="30" t="s">
        <v>130</v>
      </c>
      <c r="AH26" s="30" t="s">
        <v>130</v>
      </c>
      <c r="AI26" s="13">
        <f t="shared" si="8"/>
        <v>196003.33733585928</v>
      </c>
      <c r="AJ26" s="36">
        <f t="shared" si="9"/>
        <v>7.0736344630213752</v>
      </c>
      <c r="AK26" s="13">
        <f t="shared" si="10"/>
        <v>260508.28869687801</v>
      </c>
      <c r="AL26" s="13">
        <f t="shared" si="11"/>
        <v>489402.40414637845</v>
      </c>
      <c r="AM26" s="13">
        <f t="shared" si="20"/>
        <v>374955.34642162826</v>
      </c>
      <c r="AN26" s="36">
        <f t="shared" si="12"/>
        <v>10.181238661577888</v>
      </c>
      <c r="AO26" s="13">
        <f t="shared" si="13"/>
        <v>149.6908526142943</v>
      </c>
      <c r="AP26" s="13">
        <f t="shared" si="14"/>
        <v>341.46922880811724</v>
      </c>
      <c r="AQ26" s="13">
        <f t="shared" si="21"/>
        <v>491.48421964052557</v>
      </c>
      <c r="AR26" s="41" t="s">
        <v>130</v>
      </c>
      <c r="AS26" s="20">
        <f t="shared" si="28"/>
        <v>92169.230310519997</v>
      </c>
      <c r="AT26" s="20">
        <f t="shared" si="29"/>
        <v>62660.0402999</v>
      </c>
      <c r="AU26" s="20">
        <f t="shared" si="22"/>
        <v>6.1955084372368994</v>
      </c>
      <c r="AV26" s="20">
        <v>9</v>
      </c>
      <c r="AW26" s="20">
        <f t="shared" si="23"/>
        <v>0.32480421523692665</v>
      </c>
      <c r="AX26" s="14" t="s">
        <v>4</v>
      </c>
      <c r="AY26" s="21">
        <v>1.57</v>
      </c>
      <c r="AZ26" s="1">
        <v>233</v>
      </c>
      <c r="BA26" s="125">
        <f t="shared" si="24"/>
        <v>8.4088202389115442E-3</v>
      </c>
      <c r="BB26" s="1">
        <v>14</v>
      </c>
      <c r="BC26" s="127">
        <f t="shared" si="25"/>
        <v>5.0525100147966369E-4</v>
      </c>
    </row>
    <row r="27" spans="1:55">
      <c r="A27" s="10">
        <v>15017</v>
      </c>
      <c r="B27" s="10" t="s">
        <v>32</v>
      </c>
      <c r="C27" s="10">
        <v>36.630000000000003</v>
      </c>
      <c r="D27" s="11">
        <v>9863</v>
      </c>
      <c r="E27" s="11">
        <v>0</v>
      </c>
      <c r="F27" s="11">
        <v>4103</v>
      </c>
      <c r="G27" s="11">
        <v>5760</v>
      </c>
      <c r="H27" s="11">
        <v>13640.97140746824</v>
      </c>
      <c r="I27" s="11">
        <f t="shared" si="30"/>
        <v>14337.690991478035</v>
      </c>
      <c r="J27" s="13">
        <v>29.9</v>
      </c>
      <c r="K27" s="13">
        <v>29</v>
      </c>
      <c r="L27" s="13">
        <f t="shared" si="19"/>
        <v>40.108300802654263</v>
      </c>
      <c r="M27" s="13">
        <f t="shared" si="0"/>
        <v>42.156852758071892</v>
      </c>
      <c r="N27" s="13">
        <v>1162</v>
      </c>
      <c r="O27" s="13">
        <f t="shared" si="1"/>
        <v>1689.1814794786048</v>
      </c>
      <c r="P27" s="14">
        <v>491.5</v>
      </c>
      <c r="Q27" s="14">
        <f t="shared" si="2"/>
        <v>4.9832708100983475E-2</v>
      </c>
      <c r="R27" s="15">
        <f t="shared" si="3"/>
        <v>13.417963417963417</v>
      </c>
      <c r="S27" s="24">
        <v>46.5</v>
      </c>
      <c r="T27" s="24">
        <v>4.7</v>
      </c>
      <c r="U27" s="16">
        <v>62.2</v>
      </c>
      <c r="V27" s="17">
        <v>86</v>
      </c>
      <c r="W27" s="17">
        <v>74.099999999999994</v>
      </c>
      <c r="X27" s="17">
        <v>1</v>
      </c>
      <c r="Y27" s="13">
        <v>2252</v>
      </c>
      <c r="Z27" s="13">
        <v>0.22</v>
      </c>
      <c r="AA27" s="18">
        <v>16831682</v>
      </c>
      <c r="AB27" s="18">
        <f t="shared" si="4"/>
        <v>60594055.199999996</v>
      </c>
      <c r="AC27" s="18">
        <f t="shared" si="5"/>
        <v>1706.5479063165365</v>
      </c>
      <c r="AD27" s="13">
        <f t="shared" si="6"/>
        <v>44257585.243872002</v>
      </c>
      <c r="AE27" s="13">
        <f t="shared" si="7"/>
        <v>9857846.8402759992</v>
      </c>
      <c r="AF27" s="13">
        <f t="shared" si="26"/>
        <v>54115432.084148005</v>
      </c>
      <c r="AG27" s="30" t="s">
        <v>130</v>
      </c>
      <c r="AH27" s="30" t="s">
        <v>130</v>
      </c>
      <c r="AI27" s="13">
        <f t="shared" si="8"/>
        <v>65201.463668230426</v>
      </c>
      <c r="AJ27" s="36">
        <f t="shared" si="9"/>
        <v>6.6107131367971634</v>
      </c>
      <c r="AK27" s="13">
        <f t="shared" si="10"/>
        <v>94782.362188702202</v>
      </c>
      <c r="AL27" s="13">
        <f t="shared" si="11"/>
        <v>178062.34173146891</v>
      </c>
      <c r="AM27" s="13">
        <f t="shared" si="20"/>
        <v>136422.35196008557</v>
      </c>
      <c r="AN27" s="36">
        <f t="shared" si="12"/>
        <v>9.5149457497146219</v>
      </c>
      <c r="AO27" s="13">
        <f t="shared" si="13"/>
        <v>173.09562042581911</v>
      </c>
      <c r="AP27" s="13">
        <f t="shared" si="14"/>
        <v>56.111414516549424</v>
      </c>
      <c r="AQ27" s="13">
        <f t="shared" si="21"/>
        <v>80.76240097197531</v>
      </c>
      <c r="AR27" s="41" t="s">
        <v>130</v>
      </c>
      <c r="AS27" s="20">
        <f t="shared" si="28"/>
        <v>32807.57582564</v>
      </c>
      <c r="AT27" s="20">
        <f t="shared" si="29"/>
        <v>20852.842698100001</v>
      </c>
      <c r="AU27" s="20">
        <f t="shared" si="22"/>
        <v>5.7924643501171538</v>
      </c>
      <c r="AV27" s="20">
        <v>5</v>
      </c>
      <c r="AW27" s="20">
        <f t="shared" si="23"/>
        <v>0.50694514853492856</v>
      </c>
      <c r="AX27" s="14" t="s">
        <v>4</v>
      </c>
      <c r="AY27" s="21">
        <v>1.4</v>
      </c>
      <c r="AZ27" s="1">
        <v>27</v>
      </c>
      <c r="BA27" s="125">
        <f t="shared" si="24"/>
        <v>2.7375038020886139E-3</v>
      </c>
      <c r="BB27" s="1">
        <v>1</v>
      </c>
      <c r="BC27" s="127">
        <f t="shared" si="25"/>
        <v>1.0138902970698571E-4</v>
      </c>
    </row>
    <row r="28" spans="1:55">
      <c r="A28" s="10">
        <v>15020</v>
      </c>
      <c r="B28" s="10" t="s">
        <v>33</v>
      </c>
      <c r="C28" s="10">
        <v>35.71</v>
      </c>
      <c r="D28" s="11">
        <v>284462</v>
      </c>
      <c r="E28" s="11">
        <v>284355</v>
      </c>
      <c r="F28" s="11">
        <v>0</v>
      </c>
      <c r="G28" s="11">
        <v>107</v>
      </c>
      <c r="H28" s="11">
        <v>338666.33443823573</v>
      </c>
      <c r="I28" s="11">
        <f t="shared" si="30"/>
        <v>355963.89049929078</v>
      </c>
      <c r="J28" s="13">
        <v>185.5</v>
      </c>
      <c r="K28" s="13">
        <v>161.19999999999999</v>
      </c>
      <c r="L28" s="13">
        <f t="shared" si="19"/>
        <v>191.91671686005017</v>
      </c>
      <c r="M28" s="13">
        <f t="shared" si="0"/>
        <v>201.7189612267567</v>
      </c>
      <c r="N28" s="13">
        <v>3895</v>
      </c>
      <c r="O28" s="13">
        <f t="shared" si="1"/>
        <v>4874.0406574331109</v>
      </c>
      <c r="P28" s="14">
        <v>16832.2</v>
      </c>
      <c r="Q28" s="14">
        <f t="shared" si="2"/>
        <v>5.9172051099971174E-2</v>
      </c>
      <c r="R28" s="15">
        <f t="shared" si="3"/>
        <v>471.35816297955756</v>
      </c>
      <c r="S28" s="24">
        <v>26.7</v>
      </c>
      <c r="T28" s="24">
        <v>4.8</v>
      </c>
      <c r="U28" s="16">
        <v>37.4</v>
      </c>
      <c r="V28" s="17">
        <v>79.2</v>
      </c>
      <c r="W28" s="17">
        <v>20.399999999999999</v>
      </c>
      <c r="X28" s="17">
        <v>4.3</v>
      </c>
      <c r="Y28" s="13">
        <v>194483</v>
      </c>
      <c r="Z28" s="13">
        <v>0.68</v>
      </c>
      <c r="AA28" s="18">
        <v>176218461</v>
      </c>
      <c r="AB28" s="18">
        <f t="shared" si="4"/>
        <v>634386459.60000002</v>
      </c>
      <c r="AC28" s="18">
        <f t="shared" si="5"/>
        <v>619.47979343462396</v>
      </c>
      <c r="AD28" s="13">
        <f t="shared" si="6"/>
        <v>3822090564.3800879</v>
      </c>
      <c r="AE28" s="13">
        <f t="shared" si="7"/>
        <v>851324878.79102898</v>
      </c>
      <c r="AF28" s="13">
        <f t="shared" si="26"/>
        <v>4673415443.1711168</v>
      </c>
      <c r="AG28" s="30">
        <v>411.32</v>
      </c>
      <c r="AH28" s="30">
        <v>194.76</v>
      </c>
      <c r="AI28" s="13">
        <f t="shared" si="8"/>
        <v>3120704.8520656149</v>
      </c>
      <c r="AJ28" s="36">
        <f t="shared" si="9"/>
        <v>10.970550906854395</v>
      </c>
      <c r="AK28" s="13">
        <f t="shared" si="10"/>
        <v>3905119.9817244131</v>
      </c>
      <c r="AL28" s="13">
        <f t="shared" si="11"/>
        <v>7336331.2818034459</v>
      </c>
      <c r="AM28" s="13">
        <f t="shared" si="20"/>
        <v>5620725.6317639295</v>
      </c>
      <c r="AN28" s="36">
        <f t="shared" si="12"/>
        <v>15.790156759664724</v>
      </c>
      <c r="AO28" s="13">
        <f t="shared" si="13"/>
        <v>135.08571395168883</v>
      </c>
      <c r="AP28" s="13">
        <f t="shared" si="14"/>
        <v>801.20792094110777</v>
      </c>
      <c r="AQ28" s="13">
        <f t="shared" si="21"/>
        <v>1153.1962958068668</v>
      </c>
      <c r="AR28" s="41" t="s">
        <v>130</v>
      </c>
      <c r="AS28" s="20">
        <f t="shared" si="28"/>
        <v>946213.99518535996</v>
      </c>
      <c r="AT28" s="20">
        <f t="shared" si="29"/>
        <v>995547.55200070003</v>
      </c>
      <c r="AU28" s="20">
        <f t="shared" si="22"/>
        <v>9.5883722245078271</v>
      </c>
      <c r="AV28" s="20">
        <v>280</v>
      </c>
      <c r="AW28" s="20">
        <f t="shared" si="23"/>
        <v>0.98431424935492262</v>
      </c>
      <c r="AX28" s="14" t="s">
        <v>4</v>
      </c>
      <c r="AY28" s="21">
        <v>1.78</v>
      </c>
      <c r="AZ28" s="1">
        <v>2127</v>
      </c>
      <c r="BA28" s="125">
        <f t="shared" si="24"/>
        <v>7.4772728870640013E-3</v>
      </c>
      <c r="BB28" s="1">
        <v>301</v>
      </c>
      <c r="BC28" s="127">
        <f t="shared" si="25"/>
        <v>1.0581378180565418E-3</v>
      </c>
    </row>
    <row r="29" spans="1:55">
      <c r="A29" s="10">
        <v>15022</v>
      </c>
      <c r="B29" s="10" t="s">
        <v>34</v>
      </c>
      <c r="C29" s="10">
        <v>10.45</v>
      </c>
      <c r="D29" s="11">
        <v>14414</v>
      </c>
      <c r="E29" s="11">
        <v>0</v>
      </c>
      <c r="F29" s="11">
        <v>11117</v>
      </c>
      <c r="G29" s="11">
        <v>3297</v>
      </c>
      <c r="H29" s="11">
        <v>15026.690138097114</v>
      </c>
      <c r="I29" s="11">
        <f t="shared" si="30"/>
        <v>15794.186014257906</v>
      </c>
      <c r="J29" s="13">
        <v>46.1</v>
      </c>
      <c r="K29" s="13">
        <v>52.3</v>
      </c>
      <c r="L29" s="13">
        <f t="shared" si="19"/>
        <v>54.523095200671506</v>
      </c>
      <c r="M29" s="13">
        <f t="shared" si="0"/>
        <v>57.307890144698803</v>
      </c>
      <c r="N29" s="13">
        <v>1980</v>
      </c>
      <c r="O29" s="13">
        <f t="shared" si="1"/>
        <v>2169.5912521320006</v>
      </c>
      <c r="P29" s="14">
        <v>177.1</v>
      </c>
      <c r="Q29" s="14">
        <f t="shared" si="2"/>
        <v>1.2286665741640071E-2</v>
      </c>
      <c r="R29" s="15">
        <f t="shared" si="3"/>
        <v>16.947368421052634</v>
      </c>
      <c r="S29" s="24">
        <v>42.6</v>
      </c>
      <c r="T29" s="24">
        <v>3.3</v>
      </c>
      <c r="U29" s="16">
        <v>56.2</v>
      </c>
      <c r="V29" s="17">
        <v>83.5</v>
      </c>
      <c r="W29" s="17">
        <v>54.3</v>
      </c>
      <c r="X29" s="17">
        <v>2.2999999999999998</v>
      </c>
      <c r="Y29" s="13">
        <v>4488</v>
      </c>
      <c r="Z29" s="13">
        <v>0.31</v>
      </c>
      <c r="AA29" s="18">
        <v>42402095</v>
      </c>
      <c r="AB29" s="18">
        <f t="shared" si="4"/>
        <v>152647541.99999997</v>
      </c>
      <c r="AC29" s="18">
        <f t="shared" si="5"/>
        <v>2941.7299153600666</v>
      </c>
      <c r="AD29" s="13">
        <f t="shared" si="6"/>
        <v>88200729.384767994</v>
      </c>
      <c r="AE29" s="13">
        <f t="shared" si="7"/>
        <v>19645655.692343999</v>
      </c>
      <c r="AF29" s="13">
        <f t="shared" si="26"/>
        <v>107846385.07711199</v>
      </c>
      <c r="AG29" s="30" t="s">
        <v>130</v>
      </c>
      <c r="AH29" s="30" t="s">
        <v>130</v>
      </c>
      <c r="AI29" s="13">
        <f t="shared" si="8"/>
        <v>109388.08209341782</v>
      </c>
      <c r="AJ29" s="36">
        <f t="shared" si="9"/>
        <v>7.5890163794517704</v>
      </c>
      <c r="AK29" s="13">
        <f t="shared" si="10"/>
        <v>119862.33636231133</v>
      </c>
      <c r="AL29" s="13">
        <f t="shared" si="11"/>
        <v>225178.69153320359</v>
      </c>
      <c r="AM29" s="13">
        <f t="shared" si="20"/>
        <v>172520.51394775746</v>
      </c>
      <c r="AN29" s="36">
        <f t="shared" si="12"/>
        <v>10.92303926217013</v>
      </c>
      <c r="AO29" s="13">
        <f t="shared" si="13"/>
        <v>105.85303921948292</v>
      </c>
      <c r="AP29" s="13">
        <f t="shared" si="14"/>
        <v>55.246506107786779</v>
      </c>
      <c r="AQ29" s="13">
        <f t="shared" si="21"/>
        <v>79.517519154000112</v>
      </c>
      <c r="AR29" s="41" t="s">
        <v>130</v>
      </c>
      <c r="AS29" s="20">
        <f t="shared" si="28"/>
        <v>47945.695827919997</v>
      </c>
      <c r="AT29" s="20">
        <f t="shared" si="29"/>
        <v>34956.011860600003</v>
      </c>
      <c r="AU29" s="20">
        <f t="shared" si="22"/>
        <v>6.644227522442983</v>
      </c>
      <c r="AV29" s="20">
        <v>7.5</v>
      </c>
      <c r="AW29" s="20">
        <f t="shared" si="23"/>
        <v>0.52032745941445813</v>
      </c>
      <c r="AX29" s="14" t="s">
        <v>4</v>
      </c>
      <c r="AY29" s="21">
        <v>1.3</v>
      </c>
      <c r="AZ29" s="1">
        <v>108</v>
      </c>
      <c r="BA29" s="125">
        <f t="shared" si="24"/>
        <v>7.4927154155681975E-3</v>
      </c>
      <c r="BB29" s="1">
        <v>8</v>
      </c>
      <c r="BC29" s="127">
        <f t="shared" si="25"/>
        <v>5.5501595670875536E-4</v>
      </c>
    </row>
    <row r="30" spans="1:55">
      <c r="A30" s="10">
        <v>15023</v>
      </c>
      <c r="B30" s="10" t="s">
        <v>35</v>
      </c>
      <c r="C30" s="10">
        <v>46.75</v>
      </c>
      <c r="D30" s="11">
        <v>41810</v>
      </c>
      <c r="E30" s="11">
        <v>38218</v>
      </c>
      <c r="F30" s="11">
        <v>2736</v>
      </c>
      <c r="G30" s="11">
        <v>856</v>
      </c>
      <c r="H30" s="11">
        <v>49777.06147272644</v>
      </c>
      <c r="I30" s="11">
        <f t="shared" si="30"/>
        <v>52319.450319280353</v>
      </c>
      <c r="J30" s="13">
        <v>43.8</v>
      </c>
      <c r="K30" s="13">
        <v>48.6</v>
      </c>
      <c r="L30" s="13">
        <f t="shared" si="19"/>
        <v>57.860922926919514</v>
      </c>
      <c r="M30" s="13">
        <f t="shared" si="0"/>
        <v>60.8161991274103</v>
      </c>
      <c r="N30" s="13">
        <v>771</v>
      </c>
      <c r="O30" s="13">
        <f t="shared" si="1"/>
        <v>964.80019603360802</v>
      </c>
      <c r="P30" s="14">
        <v>594</v>
      </c>
      <c r="Q30" s="14">
        <f t="shared" si="2"/>
        <v>1.4207127481463765E-2</v>
      </c>
      <c r="R30" s="15">
        <f t="shared" si="3"/>
        <v>12.705882352941176</v>
      </c>
      <c r="S30" s="24">
        <v>44.9</v>
      </c>
      <c r="T30" s="24">
        <v>3</v>
      </c>
      <c r="U30" s="16">
        <v>63.3</v>
      </c>
      <c r="V30" s="17">
        <v>74.7</v>
      </c>
      <c r="W30" s="17">
        <v>39.200000000000003</v>
      </c>
      <c r="X30" s="17">
        <v>1.5</v>
      </c>
      <c r="Y30" s="13">
        <v>11906</v>
      </c>
      <c r="Z30" s="13">
        <v>0.28000000000000003</v>
      </c>
      <c r="AA30" s="18">
        <v>14573323</v>
      </c>
      <c r="AB30" s="18">
        <f t="shared" si="4"/>
        <v>52463962.799999997</v>
      </c>
      <c r="AC30" s="18">
        <f t="shared" si="5"/>
        <v>348.56070318105714</v>
      </c>
      <c r="AD30" s="13">
        <f t="shared" si="6"/>
        <v>233983485.75201601</v>
      </c>
      <c r="AE30" s="13">
        <f t="shared" si="7"/>
        <v>52117017.975277998</v>
      </c>
      <c r="AF30" s="13">
        <f t="shared" si="26"/>
        <v>286100503.72729403</v>
      </c>
      <c r="AG30" s="30" t="s">
        <v>130</v>
      </c>
      <c r="AH30" s="30" t="s">
        <v>130</v>
      </c>
      <c r="AI30" s="13">
        <f t="shared" si="8"/>
        <v>446516.76019812218</v>
      </c>
      <c r="AJ30" s="36">
        <f t="shared" si="9"/>
        <v>10.679664199907251</v>
      </c>
      <c r="AK30" s="13">
        <f t="shared" si="10"/>
        <v>558754.16053364438</v>
      </c>
      <c r="AL30" s="13">
        <f t="shared" si="11"/>
        <v>1049700.3026653954</v>
      </c>
      <c r="AM30" s="13">
        <f t="shared" si="20"/>
        <v>804227.23159951996</v>
      </c>
      <c r="AN30" s="36">
        <f t="shared" si="12"/>
        <v>15.371477083411797</v>
      </c>
      <c r="AO30" s="13">
        <f t="shared" si="13"/>
        <v>135.08642815549345</v>
      </c>
      <c r="AP30" s="13">
        <f t="shared" si="14"/>
        <v>579.13976679393284</v>
      </c>
      <c r="AQ30" s="13">
        <f t="shared" si="21"/>
        <v>833.5686859370262</v>
      </c>
      <c r="AR30" s="41" t="s">
        <v>130</v>
      </c>
      <c r="AS30" s="20">
        <f t="shared" si="28"/>
        <v>139073.78538679998</v>
      </c>
      <c r="AT30" s="20">
        <f t="shared" si="29"/>
        <v>142459.85724840002</v>
      </c>
      <c r="AU30" s="20">
        <f t="shared" si="22"/>
        <v>9.3351107094651944</v>
      </c>
      <c r="AV30" s="20">
        <v>25</v>
      </c>
      <c r="AW30" s="20">
        <f t="shared" si="23"/>
        <v>0.59794307581918205</v>
      </c>
      <c r="AX30" s="14" t="s">
        <v>4</v>
      </c>
      <c r="AY30" s="21">
        <v>0.9</v>
      </c>
      <c r="AZ30" s="1">
        <v>281</v>
      </c>
      <c r="BA30" s="125">
        <f t="shared" si="24"/>
        <v>6.7208801722076061E-3</v>
      </c>
      <c r="BB30" s="1">
        <v>55</v>
      </c>
      <c r="BC30" s="127">
        <f t="shared" si="25"/>
        <v>1.3154747668022004E-3</v>
      </c>
    </row>
    <row r="31" spans="1:55">
      <c r="A31" s="10">
        <v>15024</v>
      </c>
      <c r="B31" s="10" t="s">
        <v>36</v>
      </c>
      <c r="C31" s="10">
        <v>42.5</v>
      </c>
      <c r="D31" s="11">
        <v>149550</v>
      </c>
      <c r="E31" s="11">
        <v>115798</v>
      </c>
      <c r="F31" s="11">
        <v>26553</v>
      </c>
      <c r="G31" s="11">
        <v>7199</v>
      </c>
      <c r="H31" s="11">
        <v>204623.71800793882</v>
      </c>
      <c r="I31" s="11">
        <f t="shared" si="30"/>
        <v>215074.97895046795</v>
      </c>
      <c r="J31" s="13">
        <v>111.9</v>
      </c>
      <c r="K31" s="13">
        <v>125</v>
      </c>
      <c r="L31" s="13">
        <f t="shared" si="19"/>
        <v>171.03286359740792</v>
      </c>
      <c r="M31" s="13">
        <f t="shared" si="0"/>
        <v>179.76845448885655</v>
      </c>
      <c r="N31" s="13">
        <v>1755</v>
      </c>
      <c r="O31" s="13">
        <f t="shared" si="1"/>
        <v>2523.9491010235456</v>
      </c>
      <c r="P31" s="14">
        <v>18829.2</v>
      </c>
      <c r="Q31" s="14">
        <f t="shared" si="2"/>
        <v>0.12590571715145438</v>
      </c>
      <c r="R31" s="15">
        <f t="shared" si="3"/>
        <v>443.04</v>
      </c>
      <c r="S31" s="24">
        <v>26.2</v>
      </c>
      <c r="T31" s="24">
        <v>3.4</v>
      </c>
      <c r="U31" s="16">
        <v>39.1</v>
      </c>
      <c r="V31" s="17">
        <v>83.5</v>
      </c>
      <c r="W31" s="17">
        <v>19.5</v>
      </c>
      <c r="X31" s="17">
        <v>5.5</v>
      </c>
      <c r="Y31" s="13">
        <v>67101</v>
      </c>
      <c r="Z31" s="13">
        <v>0.44</v>
      </c>
      <c r="AA31" s="18">
        <v>221567656</v>
      </c>
      <c r="AB31" s="18">
        <f t="shared" si="4"/>
        <v>797643561.60000002</v>
      </c>
      <c r="AC31" s="22">
        <f t="shared" si="5"/>
        <v>1481.5623938482113</v>
      </c>
      <c r="AD31" s="13">
        <f t="shared" si="6"/>
        <v>1318707028.174536</v>
      </c>
      <c r="AE31" s="13">
        <f t="shared" si="7"/>
        <v>293726190.42156297</v>
      </c>
      <c r="AF31" s="13">
        <f t="shared" si="26"/>
        <v>1612433218.5960989</v>
      </c>
      <c r="AG31" s="30">
        <v>120.17</v>
      </c>
      <c r="AH31" s="30">
        <v>120.17</v>
      </c>
      <c r="AI31" s="13">
        <f t="shared" si="8"/>
        <v>1528187.7321345336</v>
      </c>
      <c r="AJ31" s="36">
        <f t="shared" si="9"/>
        <v>10.218573936038339</v>
      </c>
      <c r="AK31" s="13">
        <f t="shared" si="10"/>
        <v>2197759.5741972462</v>
      </c>
      <c r="AL31" s="13">
        <f t="shared" si="11"/>
        <v>4128808.4334214255</v>
      </c>
      <c r="AM31" s="13">
        <f t="shared" si="20"/>
        <v>3163284.0038093356</v>
      </c>
      <c r="AN31" s="36">
        <f t="shared" si="12"/>
        <v>14.707819660128127</v>
      </c>
      <c r="AO31" s="13">
        <f t="shared" si="13"/>
        <v>170.17678172657565</v>
      </c>
      <c r="AP31" s="13">
        <f t="shared" si="14"/>
        <v>870.7622405324978</v>
      </c>
      <c r="AQ31" s="13">
        <f t="shared" si="21"/>
        <v>1253.3073676194651</v>
      </c>
      <c r="AR31" s="41" t="s">
        <v>130</v>
      </c>
      <c r="AS31" s="20">
        <f t="shared" si="28"/>
        <v>497452.39427399996</v>
      </c>
      <c r="AT31" s="20">
        <f t="shared" si="29"/>
        <v>487650.57946159999</v>
      </c>
      <c r="AU31" s="20">
        <f t="shared" si="22"/>
        <v>8.9336608814864693</v>
      </c>
      <c r="AV31" s="20">
        <v>140</v>
      </c>
      <c r="AW31" s="20">
        <f t="shared" si="23"/>
        <v>0.93614175860916082</v>
      </c>
      <c r="AX31" s="14" t="s">
        <v>4</v>
      </c>
      <c r="AY31" s="21">
        <v>1.43</v>
      </c>
      <c r="AZ31" s="1">
        <v>2153</v>
      </c>
      <c r="BA31" s="125">
        <f t="shared" si="24"/>
        <v>1.4396522902039452E-2</v>
      </c>
      <c r="BB31" s="1">
        <v>231</v>
      </c>
      <c r="BC31" s="127">
        <f t="shared" si="25"/>
        <v>1.5446339017051154E-3</v>
      </c>
    </row>
    <row r="32" spans="1:55">
      <c r="A32" s="10">
        <v>15025</v>
      </c>
      <c r="B32" s="10" t="s">
        <v>37</v>
      </c>
      <c r="C32" s="10">
        <v>229.64</v>
      </c>
      <c r="D32" s="11">
        <v>343701</v>
      </c>
      <c r="E32" s="11">
        <v>230084</v>
      </c>
      <c r="F32" s="11">
        <v>100425</v>
      </c>
      <c r="G32" s="11">
        <v>13192</v>
      </c>
      <c r="H32" s="11">
        <v>449939.39954560966</v>
      </c>
      <c r="I32" s="11">
        <f t="shared" si="30"/>
        <v>472920.2842580729</v>
      </c>
      <c r="J32" s="13">
        <v>85.2</v>
      </c>
      <c r="K32" s="13">
        <v>96.5</v>
      </c>
      <c r="L32" s="13">
        <f t="shared" si="19"/>
        <v>126.32826804737644</v>
      </c>
      <c r="M32" s="13">
        <f t="shared" si="0"/>
        <v>132.78054888087038</v>
      </c>
      <c r="N32" s="13">
        <v>1268</v>
      </c>
      <c r="O32" s="13">
        <f t="shared" si="1"/>
        <v>1744.7226526522659</v>
      </c>
      <c r="P32" s="14">
        <v>23544.799999999999</v>
      </c>
      <c r="Q32" s="14">
        <f t="shared" si="2"/>
        <v>6.8503728531485217E-2</v>
      </c>
      <c r="R32" s="15">
        <f t="shared" si="3"/>
        <v>102.52917610172445</v>
      </c>
      <c r="S32" s="24">
        <v>54.5</v>
      </c>
      <c r="T32" s="24">
        <v>4.9000000000000004</v>
      </c>
      <c r="U32" s="16">
        <v>62</v>
      </c>
      <c r="V32" s="17">
        <v>73.599999999999994</v>
      </c>
      <c r="W32" s="17">
        <v>44.8</v>
      </c>
      <c r="X32" s="17">
        <v>1.6</v>
      </c>
      <c r="Y32" s="13">
        <v>143038</v>
      </c>
      <c r="Z32" s="13">
        <v>0.41</v>
      </c>
      <c r="AA32" s="18">
        <v>238631802</v>
      </c>
      <c r="AB32" s="18">
        <f t="shared" si="4"/>
        <v>859074487.19999993</v>
      </c>
      <c r="AC32" s="22">
        <f t="shared" si="5"/>
        <v>694.30057520926619</v>
      </c>
      <c r="AD32" s="13">
        <f t="shared" si="6"/>
        <v>2811064155.4675679</v>
      </c>
      <c r="AE32" s="13">
        <f t="shared" si="7"/>
        <v>626130859.83099401</v>
      </c>
      <c r="AF32" s="13">
        <f t="shared" si="26"/>
        <v>3437195015.298562</v>
      </c>
      <c r="AG32" s="30">
        <v>184.29</v>
      </c>
      <c r="AH32" s="30">
        <v>92.15</v>
      </c>
      <c r="AI32" s="13">
        <f t="shared" si="8"/>
        <v>3422103.6815254251</v>
      </c>
      <c r="AJ32" s="36">
        <f t="shared" si="9"/>
        <v>9.9566299822387041</v>
      </c>
      <c r="AK32" s="13">
        <f t="shared" si="10"/>
        <v>4708692.2814527797</v>
      </c>
      <c r="AL32" s="13">
        <f t="shared" si="11"/>
        <v>8845957.7791395746</v>
      </c>
      <c r="AM32" s="13">
        <f t="shared" si="20"/>
        <v>6777325.0302961767</v>
      </c>
      <c r="AN32" s="36">
        <f t="shared" si="12"/>
        <v>14.330797929144833</v>
      </c>
      <c r="AO32" s="13">
        <f t="shared" si="13"/>
        <v>158.49473313434009</v>
      </c>
      <c r="AP32" s="13">
        <f t="shared" si="14"/>
        <v>2698.8199381115342</v>
      </c>
      <c r="AQ32" s="13">
        <f t="shared" si="21"/>
        <v>3884.4712768493755</v>
      </c>
      <c r="AR32" s="41" t="s">
        <v>130</v>
      </c>
      <c r="AS32" s="20">
        <f t="shared" si="28"/>
        <v>1143262.3561642799</v>
      </c>
      <c r="AT32" s="20">
        <f t="shared" si="29"/>
        <v>1092124.8599034999</v>
      </c>
      <c r="AU32" s="20">
        <f t="shared" si="22"/>
        <v>8.7055984819514798</v>
      </c>
      <c r="AV32" s="20">
        <v>250</v>
      </c>
      <c r="AW32" s="20">
        <f t="shared" si="23"/>
        <v>0.72737641147392651</v>
      </c>
      <c r="AX32" s="14" t="s">
        <v>4</v>
      </c>
      <c r="AY32" s="21">
        <v>1.87</v>
      </c>
      <c r="AZ32" s="1">
        <v>3961</v>
      </c>
      <c r="BA32" s="125">
        <f t="shared" si="24"/>
        <v>1.1524551863392891E-2</v>
      </c>
      <c r="BB32" s="1">
        <v>589</v>
      </c>
      <c r="BC32" s="127">
        <f t="shared" si="25"/>
        <v>1.7136988254325706E-3</v>
      </c>
    </row>
    <row r="33" spans="1:55">
      <c r="A33" s="10">
        <v>15028</v>
      </c>
      <c r="B33" s="10" t="s">
        <v>38</v>
      </c>
      <c r="C33" s="10">
        <v>20.13</v>
      </c>
      <c r="D33" s="11">
        <v>29159</v>
      </c>
      <c r="E33" s="11">
        <v>0</v>
      </c>
      <c r="F33" s="11">
        <v>18796</v>
      </c>
      <c r="G33" s="11">
        <v>10363</v>
      </c>
      <c r="H33" s="11">
        <v>36111.719020512304</v>
      </c>
      <c r="I33" s="11">
        <f t="shared" si="30"/>
        <v>37956.143519494501</v>
      </c>
      <c r="J33" s="13">
        <v>22.6</v>
      </c>
      <c r="K33" s="13">
        <v>22.8</v>
      </c>
      <c r="L33" s="13">
        <f t="shared" si="19"/>
        <v>28.236468797547261</v>
      </c>
      <c r="M33" s="13">
        <f t="shared" si="0"/>
        <v>29.678660867810095</v>
      </c>
      <c r="N33" s="13">
        <v>1817</v>
      </c>
      <c r="O33" s="13">
        <f t="shared" si="1"/>
        <v>2365.1809998601293</v>
      </c>
      <c r="P33" s="14">
        <v>432.1</v>
      </c>
      <c r="Q33" s="14">
        <f t="shared" si="2"/>
        <v>1.4818752357762612E-2</v>
      </c>
      <c r="R33" s="15">
        <f t="shared" si="3"/>
        <v>21.465474416294089</v>
      </c>
      <c r="S33" s="24">
        <v>52.8</v>
      </c>
      <c r="T33" s="24">
        <v>4.0999999999999996</v>
      </c>
      <c r="U33" s="16">
        <v>58.2</v>
      </c>
      <c r="V33" s="17">
        <v>79.5</v>
      </c>
      <c r="W33" s="17">
        <v>70.7</v>
      </c>
      <c r="X33" s="17">
        <v>3.2</v>
      </c>
      <c r="Y33" s="13">
        <v>11767</v>
      </c>
      <c r="Z33" s="13">
        <v>0.4</v>
      </c>
      <c r="AA33" s="18">
        <v>9652529</v>
      </c>
      <c r="AB33" s="18">
        <f t="shared" si="4"/>
        <v>34749104.399999999</v>
      </c>
      <c r="AC33" s="22">
        <f t="shared" si="5"/>
        <v>331.03086525601015</v>
      </c>
      <c r="AD33" s="13">
        <f t="shared" si="6"/>
        <v>231251778.66991201</v>
      </c>
      <c r="AE33" s="13">
        <f t="shared" si="7"/>
        <v>51508562.952721</v>
      </c>
      <c r="AF33" s="13">
        <f t="shared" si="26"/>
        <v>282760341.62263298</v>
      </c>
      <c r="AG33" s="30" t="s">
        <v>130</v>
      </c>
      <c r="AH33" s="30" t="s">
        <v>130</v>
      </c>
      <c r="AI33" s="13">
        <f t="shared" si="8"/>
        <v>211117.81224668364</v>
      </c>
      <c r="AJ33" s="36">
        <f t="shared" si="9"/>
        <v>7.240228136996592</v>
      </c>
      <c r="AK33" s="13">
        <f t="shared" si="10"/>
        <v>274811.13828172494</v>
      </c>
      <c r="AL33" s="13">
        <f t="shared" si="11"/>
        <v>516272.37058001081</v>
      </c>
      <c r="AM33" s="13">
        <f t="shared" si="20"/>
        <v>395541.75443086785</v>
      </c>
      <c r="AN33" s="36">
        <f t="shared" si="12"/>
        <v>10.421020624176828</v>
      </c>
      <c r="AO33" s="13">
        <f t="shared" si="13"/>
        <v>144.54230795872635</v>
      </c>
      <c r="AP33" s="13">
        <f t="shared" si="14"/>
        <v>116.19032044396458</v>
      </c>
      <c r="AQ33" s="13">
        <f t="shared" si="21"/>
        <v>167.23530015430495</v>
      </c>
      <c r="AR33" s="41" t="s">
        <v>130</v>
      </c>
      <c r="AS33" s="20">
        <f t="shared" si="28"/>
        <v>96992.406316519991</v>
      </c>
      <c r="AT33" s="20">
        <f t="shared" si="29"/>
        <v>67482.736094499996</v>
      </c>
      <c r="AU33" s="20">
        <f t="shared" si="22"/>
        <v>6.3405538076779786</v>
      </c>
      <c r="AV33" s="20">
        <v>30</v>
      </c>
      <c r="AW33" s="20">
        <f t="shared" si="23"/>
        <v>1.0288418670050414</v>
      </c>
      <c r="AX33" s="14" t="s">
        <v>13</v>
      </c>
      <c r="AY33" s="21">
        <v>1.47</v>
      </c>
      <c r="AZ33" s="1">
        <v>118</v>
      </c>
      <c r="BA33" s="125">
        <f t="shared" si="24"/>
        <v>4.0467780102198293E-3</v>
      </c>
      <c r="BB33" s="1">
        <v>20</v>
      </c>
      <c r="BC33" s="127">
        <f t="shared" si="25"/>
        <v>6.8589457800336093E-4</v>
      </c>
    </row>
    <row r="34" spans="1:55">
      <c r="A34" s="10">
        <v>15029</v>
      </c>
      <c r="B34" s="10" t="s">
        <v>39</v>
      </c>
      <c r="C34" s="10">
        <v>42.09</v>
      </c>
      <c r="D34" s="11">
        <v>204107</v>
      </c>
      <c r="E34" s="11">
        <v>201619</v>
      </c>
      <c r="F34" s="11">
        <v>0</v>
      </c>
      <c r="G34" s="11">
        <v>2488</v>
      </c>
      <c r="H34" s="11">
        <v>226984.00379002426</v>
      </c>
      <c r="I34" s="11">
        <f t="shared" si="30"/>
        <v>238577.32775307301</v>
      </c>
      <c r="J34" s="13">
        <v>129.80000000000001</v>
      </c>
      <c r="K34" s="13">
        <v>150.4</v>
      </c>
      <c r="L34" s="13">
        <f t="shared" si="19"/>
        <v>167.25734134556703</v>
      </c>
      <c r="M34" s="13">
        <f t="shared" si="0"/>
        <v>175.8000955090329</v>
      </c>
      <c r="N34" s="13">
        <v>3347</v>
      </c>
      <c r="O34" s="13">
        <f t="shared" si="1"/>
        <v>3912.2534552442366</v>
      </c>
      <c r="P34" s="14">
        <v>9964.5</v>
      </c>
      <c r="Q34" s="14">
        <f t="shared" si="2"/>
        <v>4.8819981676277636E-2</v>
      </c>
      <c r="R34" s="15">
        <f t="shared" si="3"/>
        <v>236.74269422665714</v>
      </c>
      <c r="S34" s="24">
        <v>44.8</v>
      </c>
      <c r="T34" s="24">
        <v>4.7</v>
      </c>
      <c r="U34" s="16">
        <v>53.4</v>
      </c>
      <c r="V34" s="17">
        <v>72.900000000000006</v>
      </c>
      <c r="W34" s="17">
        <v>37.1</v>
      </c>
      <c r="X34" s="17">
        <v>1.3</v>
      </c>
      <c r="Y34" s="13">
        <v>63217</v>
      </c>
      <c r="Z34" s="13">
        <v>0.3</v>
      </c>
      <c r="AA34" s="18">
        <v>92455624</v>
      </c>
      <c r="AB34" s="18">
        <f t="shared" si="4"/>
        <v>332840246.40000004</v>
      </c>
      <c r="AC34" s="22">
        <f t="shared" si="5"/>
        <v>452.97625265179539</v>
      </c>
      <c r="AD34" s="13">
        <f t="shared" si="6"/>
        <v>1242376450.4271119</v>
      </c>
      <c r="AE34" s="13">
        <f t="shared" si="7"/>
        <v>276724468.78407097</v>
      </c>
      <c r="AF34" s="13">
        <f t="shared" si="26"/>
        <v>1519100919.2111828</v>
      </c>
      <c r="AG34" s="30" t="s">
        <v>130</v>
      </c>
      <c r="AH34" s="30" t="s">
        <v>130</v>
      </c>
      <c r="AI34" s="13">
        <f t="shared" si="8"/>
        <v>2225886.5098956302</v>
      </c>
      <c r="AJ34" s="36">
        <f t="shared" si="9"/>
        <v>10.905488346287145</v>
      </c>
      <c r="AK34" s="13">
        <f t="shared" si="10"/>
        <v>2601802.2674994664</v>
      </c>
      <c r="AL34" s="13">
        <f t="shared" si="11"/>
        <v>4887860.9244919494</v>
      </c>
      <c r="AM34" s="13">
        <f t="shared" si="20"/>
        <v>3744831.5959957079</v>
      </c>
      <c r="AN34" s="36">
        <f t="shared" si="12"/>
        <v>15.69651077604323</v>
      </c>
      <c r="AO34" s="13">
        <f t="shared" si="13"/>
        <v>119.59165046205058</v>
      </c>
      <c r="AP34" s="13">
        <f t="shared" si="14"/>
        <v>665.03929187201379</v>
      </c>
      <c r="AQ34" s="13">
        <f t="shared" si="21"/>
        <v>957.20577381710643</v>
      </c>
      <c r="AR34" s="41" t="s">
        <v>130</v>
      </c>
      <c r="AS34" s="20">
        <f t="shared" si="28"/>
        <v>678926.8862459599</v>
      </c>
      <c r="AT34" s="20">
        <f t="shared" si="29"/>
        <v>710104.52585460001</v>
      </c>
      <c r="AU34" s="20">
        <f t="shared" si="22"/>
        <v>9.5317252796642862</v>
      </c>
      <c r="AV34" s="20">
        <v>30</v>
      </c>
      <c r="AW34" s="20">
        <f t="shared" si="23"/>
        <v>0.14698173017093974</v>
      </c>
      <c r="AX34" s="14" t="s">
        <v>17</v>
      </c>
      <c r="AY34" s="21">
        <v>1.47</v>
      </c>
      <c r="AZ34" s="1">
        <v>932</v>
      </c>
      <c r="BA34" s="125">
        <f t="shared" si="24"/>
        <v>4.5662324173105281E-3</v>
      </c>
      <c r="BB34" s="1">
        <v>141</v>
      </c>
      <c r="BC34" s="127">
        <f t="shared" si="25"/>
        <v>6.908141318034168E-4</v>
      </c>
    </row>
    <row r="35" spans="1:55">
      <c r="A35" s="10">
        <v>15030</v>
      </c>
      <c r="B35" s="10" t="s">
        <v>40</v>
      </c>
      <c r="C35" s="10">
        <v>6.9</v>
      </c>
      <c r="D35" s="11">
        <v>25543</v>
      </c>
      <c r="E35" s="11">
        <v>24333</v>
      </c>
      <c r="F35" s="11">
        <v>0</v>
      </c>
      <c r="G35" s="11">
        <v>1210</v>
      </c>
      <c r="H35" s="11">
        <v>31549.387841112799</v>
      </c>
      <c r="I35" s="11">
        <f t="shared" si="30"/>
        <v>33160.788944144915</v>
      </c>
      <c r="J35" s="13">
        <v>50.8</v>
      </c>
      <c r="K35" s="13">
        <v>51.4</v>
      </c>
      <c r="L35" s="13">
        <f t="shared" si="19"/>
        <v>63.486612184676737</v>
      </c>
      <c r="M35" s="13">
        <f t="shared" ref="M35:M66" si="31">((L35*100)/H35)/100*I35</f>
        <v>66.729223338255039</v>
      </c>
      <c r="N35" s="13">
        <v>3408</v>
      </c>
      <c r="O35" s="13">
        <f t="shared" ref="O35:O66" si="32">(((N35*C35)/D35)*I35)/C35</f>
        <v>4424.3811894313849</v>
      </c>
      <c r="P35" s="14">
        <v>933.7</v>
      </c>
      <c r="Q35" s="14">
        <f t="shared" ref="Q35:Q66" si="33">P35/D35</f>
        <v>3.6554046118310299E-2</v>
      </c>
      <c r="R35" s="15">
        <f t="shared" ref="R35:R66" si="34">P35/C35</f>
        <v>135.31884057971016</v>
      </c>
      <c r="S35" s="24">
        <v>65.099999999999994</v>
      </c>
      <c r="T35" s="24">
        <v>2.4</v>
      </c>
      <c r="U35" s="16">
        <v>56.9</v>
      </c>
      <c r="V35" s="17">
        <v>65.2</v>
      </c>
      <c r="W35" s="17">
        <v>77.099999999999994</v>
      </c>
      <c r="X35" s="17">
        <v>2</v>
      </c>
      <c r="Y35" s="13">
        <v>12100</v>
      </c>
      <c r="Z35" s="13">
        <v>0.47</v>
      </c>
      <c r="AA35" s="18">
        <v>11884499</v>
      </c>
      <c r="AB35" s="18">
        <f t="shared" ref="AB35:AB66" si="35">((AC35*0.0000000036)*1000000000)*D35</f>
        <v>42784196.399999999</v>
      </c>
      <c r="AC35" s="22">
        <f t="shared" ref="AC35:AC66" si="36">AA35/D35</f>
        <v>465.27420428297381</v>
      </c>
      <c r="AD35" s="13">
        <f t="shared" ref="AD35:AD66" si="37">19652.568936*Y35</f>
        <v>237796084.12560001</v>
      </c>
      <c r="AE35" s="13">
        <f t="shared" ref="AE35:AE66" si="38">4377.374263*Y35</f>
        <v>52966228.5823</v>
      </c>
      <c r="AF35" s="13">
        <f t="shared" si="26"/>
        <v>290762312.70789999</v>
      </c>
      <c r="AG35" s="30" t="s">
        <v>130</v>
      </c>
      <c r="AH35" s="30" t="s">
        <v>130</v>
      </c>
      <c r="AI35" s="13">
        <f t="shared" ref="AI35:AI66" si="39">( 10.97262253*E35)+(8.218893262742*F35)+(5.465163995*G35)</f>
        <v>273609.67245643999</v>
      </c>
      <c r="AJ35" s="36">
        <f t="shared" ref="AJ35:AJ66" si="40">AI35/D35</f>
        <v>10.711728162566653</v>
      </c>
      <c r="AK35" s="13">
        <f t="shared" ref="AK35:AK66" si="41">AJ35*I35</f>
        <v>355209.35682592599</v>
      </c>
      <c r="AL35" s="13">
        <f t="shared" ref="AL35:AL66" si="42">(AJ35*I35)+(AJ35*I35)*$AL$129</f>
        <v>667312.0232583998</v>
      </c>
      <c r="AM35" s="13">
        <f t="shared" si="20"/>
        <v>511260.6900421629</v>
      </c>
      <c r="AN35" s="36">
        <f t="shared" ref="AN35:AN66" si="43">AM35/I35</f>
        <v>15.417627454621655</v>
      </c>
      <c r="AO35" s="13">
        <f t="shared" ref="AO35:AO66" si="44">((AL35*100)/AI35)-100</f>
        <v>143.89197109420141</v>
      </c>
      <c r="AP35" s="13">
        <f t="shared" ref="AP35:AP66" si="45">AI35/N35</f>
        <v>80.284528302946001</v>
      </c>
      <c r="AQ35" s="13">
        <f t="shared" si="21"/>
        <v>115.55529873045803</v>
      </c>
      <c r="AR35" s="41" t="s">
        <v>130</v>
      </c>
      <c r="AS35" s="20">
        <f t="shared" si="28"/>
        <v>84964.403256039994</v>
      </c>
      <c r="AT35" s="20">
        <f t="shared" si="29"/>
        <v>87293.329319600001</v>
      </c>
      <c r="AU35" s="20">
        <f t="shared" si="22"/>
        <v>9.363027301220237</v>
      </c>
      <c r="AV35" s="20">
        <v>7.3</v>
      </c>
      <c r="AW35" s="20">
        <f t="shared" si="23"/>
        <v>0.28579258505265631</v>
      </c>
      <c r="AX35" s="14" t="s">
        <v>13</v>
      </c>
      <c r="AY35" s="21">
        <v>1.45</v>
      </c>
      <c r="AZ35" s="1">
        <v>108</v>
      </c>
      <c r="BA35" s="125">
        <f t="shared" si="24"/>
        <v>4.2281642720119013E-3</v>
      </c>
      <c r="BB35" s="1">
        <v>12</v>
      </c>
      <c r="BC35" s="127">
        <f t="shared" si="25"/>
        <v>4.6979603022354461E-4</v>
      </c>
    </row>
    <row r="36" spans="1:55">
      <c r="A36" s="10">
        <v>15031</v>
      </c>
      <c r="B36" s="10" t="s">
        <v>41</v>
      </c>
      <c r="C36" s="10">
        <v>55.05</v>
      </c>
      <c r="D36" s="11">
        <v>679811</v>
      </c>
      <c r="E36" s="11">
        <v>677521</v>
      </c>
      <c r="F36" s="11">
        <v>0</v>
      </c>
      <c r="G36" s="11">
        <v>2290</v>
      </c>
      <c r="H36" s="11">
        <v>875798.0910992017</v>
      </c>
      <c r="I36" s="11">
        <f t="shared" si="30"/>
        <v>920529.92606024747</v>
      </c>
      <c r="J36" s="13">
        <v>154.30000000000001</v>
      </c>
      <c r="K36" s="13">
        <v>159.1</v>
      </c>
      <c r="L36" s="13">
        <f t="shared" si="19"/>
        <v>204.96796358676602</v>
      </c>
      <c r="M36" s="13">
        <f t="shared" si="31"/>
        <v>215.43680704811393</v>
      </c>
      <c r="N36" s="13">
        <v>3693</v>
      </c>
      <c r="O36" s="13">
        <f t="shared" si="32"/>
        <v>5000.6796255731279</v>
      </c>
      <c r="P36" s="14">
        <v>9184.6</v>
      </c>
      <c r="Q36" s="14">
        <f t="shared" si="33"/>
        <v>1.3510519835660206E-2</v>
      </c>
      <c r="R36" s="15">
        <f t="shared" si="34"/>
        <v>166.84105358764762</v>
      </c>
      <c r="S36" s="24">
        <v>61.5</v>
      </c>
      <c r="T36" s="24">
        <v>4.3</v>
      </c>
      <c r="U36" s="16">
        <v>67</v>
      </c>
      <c r="V36" s="17">
        <v>74.599999999999994</v>
      </c>
      <c r="W36" s="17">
        <v>63.6</v>
      </c>
      <c r="X36" s="17">
        <v>2.4</v>
      </c>
      <c r="Y36" s="13">
        <v>172366</v>
      </c>
      <c r="Z36" s="13">
        <v>0.25</v>
      </c>
      <c r="AA36" s="18">
        <v>243259816</v>
      </c>
      <c r="AB36" s="18">
        <f t="shared" si="35"/>
        <v>875735337.60000014</v>
      </c>
      <c r="AC36" s="22">
        <f t="shared" si="36"/>
        <v>357.83448046589422</v>
      </c>
      <c r="AD36" s="13">
        <f t="shared" si="37"/>
        <v>3387434697.2225761</v>
      </c>
      <c r="AE36" s="13">
        <f t="shared" si="38"/>
        <v>754510492.21625793</v>
      </c>
      <c r="AF36" s="13">
        <f t="shared" si="26"/>
        <v>4141945189.4388342</v>
      </c>
      <c r="AG36" s="30">
        <v>112.65</v>
      </c>
      <c r="AH36" s="30">
        <v>75.97</v>
      </c>
      <c r="AI36" s="13">
        <f t="shared" si="39"/>
        <v>7446697.4146966804</v>
      </c>
      <c r="AJ36" s="36">
        <f t="shared" si="40"/>
        <v>10.954070197005757</v>
      </c>
      <c r="AK36" s="13">
        <f t="shared" si="41"/>
        <v>10083549.42850847</v>
      </c>
      <c r="AL36" s="13">
        <f t="shared" si="42"/>
        <v>18943402.366682649</v>
      </c>
      <c r="AM36" s="13">
        <f t="shared" si="20"/>
        <v>14513475.897595558</v>
      </c>
      <c r="AN36" s="36">
        <f t="shared" si="43"/>
        <v>15.766435709169622</v>
      </c>
      <c r="AO36" s="13">
        <f t="shared" si="44"/>
        <v>154.38662687295792</v>
      </c>
      <c r="AP36" s="13">
        <f t="shared" si="45"/>
        <v>2016.4358014342488</v>
      </c>
      <c r="AQ36" s="13">
        <f t="shared" si="21"/>
        <v>2902.3006839659656</v>
      </c>
      <c r="AR36" s="41" t="s">
        <v>130</v>
      </c>
      <c r="AS36" s="20">
        <f t="shared" si="28"/>
        <v>2261274.5543550798</v>
      </c>
      <c r="AT36" s="20">
        <f t="shared" si="29"/>
        <v>2375612.1034571999</v>
      </c>
      <c r="AU36" s="20">
        <f t="shared" si="22"/>
        <v>9.5740232371080243</v>
      </c>
      <c r="AV36" s="20">
        <v>450</v>
      </c>
      <c r="AW36" s="20">
        <f t="shared" si="23"/>
        <v>0.66194868867964773</v>
      </c>
      <c r="AX36" s="14" t="s">
        <v>13</v>
      </c>
      <c r="AY36" s="21">
        <v>1.97</v>
      </c>
      <c r="AZ36" s="1">
        <v>3105</v>
      </c>
      <c r="BA36" s="125">
        <f t="shared" si="24"/>
        <v>4.5674459518895696E-3</v>
      </c>
      <c r="BB36" s="1">
        <v>558</v>
      </c>
      <c r="BC36" s="127">
        <f t="shared" si="25"/>
        <v>8.2081637396276314E-4</v>
      </c>
    </row>
    <row r="37" spans="1:55">
      <c r="A37" s="10">
        <v>15033</v>
      </c>
      <c r="B37" s="10" t="s">
        <v>42</v>
      </c>
      <c r="C37" s="10">
        <v>155.25</v>
      </c>
      <c r="D37" s="11">
        <v>1677678</v>
      </c>
      <c r="E37" s="11">
        <v>1676572</v>
      </c>
      <c r="F37" s="11">
        <v>0</v>
      </c>
      <c r="G37" s="11">
        <v>1106</v>
      </c>
      <c r="H37" s="11">
        <v>2039602.2972763148</v>
      </c>
      <c r="I37" s="11">
        <f t="shared" si="30"/>
        <v>2143776.0266725798</v>
      </c>
      <c r="J37" s="13">
        <v>177.5</v>
      </c>
      <c r="K37" s="13">
        <v>164.6</v>
      </c>
      <c r="L37" s="13">
        <f t="shared" si="19"/>
        <v>200.10904245730194</v>
      </c>
      <c r="M37" s="13">
        <f t="shared" si="31"/>
        <v>210.329714039468</v>
      </c>
      <c r="N37" s="13">
        <v>3684</v>
      </c>
      <c r="O37" s="13">
        <f t="shared" si="32"/>
        <v>4707.5010116731492</v>
      </c>
      <c r="P37" s="14">
        <v>135919.9</v>
      </c>
      <c r="Q37" s="14">
        <f t="shared" si="33"/>
        <v>8.1016679005148778E-2</v>
      </c>
      <c r="R37" s="15">
        <f t="shared" si="34"/>
        <v>875.49049919484696</v>
      </c>
      <c r="S37" s="24">
        <v>42.7</v>
      </c>
      <c r="T37" s="24">
        <v>5.6</v>
      </c>
      <c r="U37" s="16">
        <v>53.8</v>
      </c>
      <c r="V37" s="17">
        <v>73.5</v>
      </c>
      <c r="W37" s="17">
        <v>34.200000000000003</v>
      </c>
      <c r="X37" s="17">
        <v>2.8</v>
      </c>
      <c r="Y37" s="13">
        <v>1052156</v>
      </c>
      <c r="Z37" s="13">
        <v>0.62</v>
      </c>
      <c r="AA37" s="18">
        <v>1511819217</v>
      </c>
      <c r="AB37" s="18">
        <f t="shared" si="35"/>
        <v>5442549181.1999998</v>
      </c>
      <c r="AC37" s="18">
        <f t="shared" si="36"/>
        <v>901.13789237267224</v>
      </c>
      <c r="AD37" s="13">
        <f t="shared" si="37"/>
        <v>20677568321.426014</v>
      </c>
      <c r="AE37" s="13">
        <f t="shared" si="38"/>
        <v>4605680595.0610275</v>
      </c>
      <c r="AF37" s="13">
        <f t="shared" si="26"/>
        <v>25283248916.487041</v>
      </c>
      <c r="AG37" s="30">
        <v>227.89</v>
      </c>
      <c r="AH37" s="30">
        <v>133.52000000000001</v>
      </c>
      <c r="AI37" s="13">
        <f t="shared" si="39"/>
        <v>18402436.171745632</v>
      </c>
      <c r="AJ37" s="36">
        <f t="shared" si="40"/>
        <v>10.968991768233018</v>
      </c>
      <c r="AK37" s="13">
        <f t="shared" si="41"/>
        <v>23515061.589506812</v>
      </c>
      <c r="AL37" s="13">
        <f t="shared" si="42"/>
        <v>44176435.740766943</v>
      </c>
      <c r="AM37" s="13">
        <f t="shared" si="20"/>
        <v>33845748.665136874</v>
      </c>
      <c r="AN37" s="36">
        <f t="shared" si="43"/>
        <v>15.787912656934546</v>
      </c>
      <c r="AO37" s="13">
        <f t="shared" si="44"/>
        <v>140.05754090642458</v>
      </c>
      <c r="AP37" s="13">
        <f t="shared" si="45"/>
        <v>4995.2324027539717</v>
      </c>
      <c r="AQ37" s="13">
        <f t="shared" si="21"/>
        <v>7189.7485696147205</v>
      </c>
      <c r="AR37" s="41" t="s">
        <v>130</v>
      </c>
      <c r="AS37" s="20">
        <f t="shared" si="28"/>
        <v>5580507.77613384</v>
      </c>
      <c r="AT37" s="20">
        <f t="shared" si="29"/>
        <v>5870632.1651750002</v>
      </c>
      <c r="AU37" s="20">
        <f t="shared" si="22"/>
        <v>9.5870147550396929</v>
      </c>
      <c r="AV37" s="20">
        <v>3000</v>
      </c>
      <c r="AW37" s="20">
        <f t="shared" si="23"/>
        <v>1.7881858139643008</v>
      </c>
      <c r="AX37" s="14" t="s">
        <v>17</v>
      </c>
      <c r="AY37" s="21">
        <v>1.78</v>
      </c>
      <c r="AZ37" s="1">
        <v>12812</v>
      </c>
      <c r="BA37" s="125">
        <f t="shared" si="24"/>
        <v>7.6367455495035402E-3</v>
      </c>
      <c r="BB37" s="1">
        <v>2044</v>
      </c>
      <c r="BC37" s="127">
        <f t="shared" si="25"/>
        <v>1.2183506012476769E-3</v>
      </c>
    </row>
    <row r="38" spans="1:55">
      <c r="A38" s="10">
        <v>15034</v>
      </c>
      <c r="B38" s="10" t="s">
        <v>43</v>
      </c>
      <c r="C38" s="10">
        <v>50.77</v>
      </c>
      <c r="D38" s="11">
        <v>9414</v>
      </c>
      <c r="E38" s="11">
        <v>0</v>
      </c>
      <c r="F38" s="11">
        <v>7092</v>
      </c>
      <c r="G38" s="11">
        <v>2322</v>
      </c>
      <c r="H38" s="11">
        <v>13183.903838494109</v>
      </c>
      <c r="I38" s="11">
        <f t="shared" si="30"/>
        <v>13857.278462895994</v>
      </c>
      <c r="J38" s="13">
        <v>9.1</v>
      </c>
      <c r="K38" s="13">
        <v>11.2</v>
      </c>
      <c r="L38" s="13">
        <f t="shared" si="19"/>
        <v>15.685120351724455</v>
      </c>
      <c r="M38" s="13">
        <f t="shared" si="31"/>
        <v>16.486245887447964</v>
      </c>
      <c r="N38" s="13">
        <v>2960</v>
      </c>
      <c r="O38" s="13">
        <f t="shared" si="32"/>
        <v>4357.0792702541048</v>
      </c>
      <c r="P38" s="14">
        <v>115.7</v>
      </c>
      <c r="Q38" s="14">
        <f t="shared" si="33"/>
        <v>1.2290206076056936E-2</v>
      </c>
      <c r="R38" s="15">
        <f t="shared" si="34"/>
        <v>2.2789048650778017</v>
      </c>
      <c r="S38" s="24">
        <v>77.400000000000006</v>
      </c>
      <c r="T38" s="24">
        <v>4.7</v>
      </c>
      <c r="U38" s="16">
        <v>71.3</v>
      </c>
      <c r="V38" s="17">
        <v>88.5</v>
      </c>
      <c r="W38" s="17">
        <v>85.5</v>
      </c>
      <c r="X38" s="17">
        <v>2.8</v>
      </c>
      <c r="Y38" s="13">
        <v>996</v>
      </c>
      <c r="Z38" s="13">
        <v>0.1</v>
      </c>
      <c r="AA38" s="18">
        <v>3702859</v>
      </c>
      <c r="AB38" s="18">
        <f t="shared" si="35"/>
        <v>13330292.4</v>
      </c>
      <c r="AC38" s="18">
        <f t="shared" si="36"/>
        <v>393.33535160399407</v>
      </c>
      <c r="AD38" s="13">
        <f t="shared" si="37"/>
        <v>19573958.660255998</v>
      </c>
      <c r="AE38" s="13">
        <f t="shared" si="38"/>
        <v>4359864.7659479994</v>
      </c>
      <c r="AF38" s="13">
        <f t="shared" si="26"/>
        <v>23933823.426203996</v>
      </c>
      <c r="AG38" s="30" t="s">
        <v>130</v>
      </c>
      <c r="AH38" s="30" t="s">
        <v>130</v>
      </c>
      <c r="AI38" s="13">
        <f t="shared" si="39"/>
        <v>70978.501815756274</v>
      </c>
      <c r="AJ38" s="36">
        <f t="shared" si="40"/>
        <v>7.5396751450771484</v>
      </c>
      <c r="AK38" s="13">
        <f t="shared" si="41"/>
        <v>104479.3780051098</v>
      </c>
      <c r="AL38" s="13">
        <f t="shared" si="42"/>
        <v>196279.58494217298</v>
      </c>
      <c r="AM38" s="13">
        <f t="shared" si="20"/>
        <v>150379.48147364138</v>
      </c>
      <c r="AN38" s="36">
        <f t="shared" si="43"/>
        <v>10.852021331338245</v>
      </c>
      <c r="AO38" s="13">
        <f t="shared" si="44"/>
        <v>176.53385168888076</v>
      </c>
      <c r="AP38" s="13">
        <f t="shared" si="45"/>
        <v>23.979223586404146</v>
      </c>
      <c r="AQ38" s="13">
        <f t="shared" si="21"/>
        <v>34.513827301762923</v>
      </c>
      <c r="AR38" s="41" t="s">
        <v>130</v>
      </c>
      <c r="AS38" s="20">
        <f t="shared" si="28"/>
        <v>31314.054427919997</v>
      </c>
      <c r="AT38" s="20">
        <f t="shared" si="29"/>
        <v>22682.6843706</v>
      </c>
      <c r="AU38" s="20">
        <f t="shared" si="22"/>
        <v>6.6012684025249495</v>
      </c>
      <c r="AV38" s="20">
        <v>6</v>
      </c>
      <c r="AW38" s="20">
        <f t="shared" si="23"/>
        <v>0.63734862970044615</v>
      </c>
      <c r="AX38" s="14" t="s">
        <v>13</v>
      </c>
      <c r="AY38" s="21">
        <v>1.47</v>
      </c>
      <c r="AZ38" s="1">
        <v>24</v>
      </c>
      <c r="BA38" s="125">
        <f t="shared" si="24"/>
        <v>2.5493945188017845E-3</v>
      </c>
      <c r="BB38" s="1">
        <v>4</v>
      </c>
      <c r="BC38" s="127">
        <f t="shared" si="25"/>
        <v>4.2489908646696408E-4</v>
      </c>
    </row>
    <row r="39" spans="1:55">
      <c r="A39" s="10">
        <v>15035</v>
      </c>
      <c r="B39" s="10" t="s">
        <v>44</v>
      </c>
      <c r="C39" s="10">
        <v>161.71</v>
      </c>
      <c r="D39" s="11">
        <v>128486</v>
      </c>
      <c r="E39" s="11">
        <v>47330</v>
      </c>
      <c r="F39" s="11">
        <v>72844</v>
      </c>
      <c r="G39" s="11">
        <v>8312</v>
      </c>
      <c r="H39" s="11">
        <v>173524.05332590485</v>
      </c>
      <c r="I39" s="11">
        <f t="shared" si="30"/>
        <v>182386.88300552199</v>
      </c>
      <c r="J39" s="13">
        <v>81.400000000000006</v>
      </c>
      <c r="K39" s="13">
        <v>76.8</v>
      </c>
      <c r="L39" s="13">
        <f t="shared" si="19"/>
        <v>103.72061777492874</v>
      </c>
      <c r="M39" s="13">
        <f t="shared" si="31"/>
        <v>109.01820132017566</v>
      </c>
      <c r="N39" s="13">
        <v>1841</v>
      </c>
      <c r="O39" s="13">
        <f t="shared" si="32"/>
        <v>2613.3139144588981</v>
      </c>
      <c r="P39" s="14">
        <v>10754</v>
      </c>
      <c r="Q39" s="14">
        <f t="shared" si="33"/>
        <v>8.3697834783556191E-2</v>
      </c>
      <c r="R39" s="15">
        <f t="shared" si="34"/>
        <v>66.501762414198254</v>
      </c>
      <c r="S39" s="24">
        <v>39.799999999999997</v>
      </c>
      <c r="T39" s="24">
        <v>4</v>
      </c>
      <c r="U39" s="16">
        <v>55.9</v>
      </c>
      <c r="V39" s="17">
        <v>83</v>
      </c>
      <c r="W39" s="17">
        <v>33.5</v>
      </c>
      <c r="X39" s="17">
        <v>1.5</v>
      </c>
      <c r="Y39" s="13">
        <v>25786</v>
      </c>
      <c r="Z39" s="13">
        <v>0.2</v>
      </c>
      <c r="AA39" s="18">
        <v>177263584</v>
      </c>
      <c r="AB39" s="18">
        <f t="shared" si="35"/>
        <v>638148902.39999998</v>
      </c>
      <c r="AC39" s="18">
        <f t="shared" si="36"/>
        <v>1379.6334542284762</v>
      </c>
      <c r="AD39" s="13">
        <f t="shared" si="37"/>
        <v>506761142.58369601</v>
      </c>
      <c r="AE39" s="13">
        <f t="shared" si="38"/>
        <v>112874972.74571799</v>
      </c>
      <c r="AF39" s="13">
        <f t="shared" si="26"/>
        <v>619636115.32941401</v>
      </c>
      <c r="AG39" s="30">
        <v>298.61</v>
      </c>
      <c r="AH39" s="30">
        <v>126.7</v>
      </c>
      <c r="AI39" s="13">
        <f t="shared" si="39"/>
        <v>1163457.7283025184</v>
      </c>
      <c r="AJ39" s="36">
        <f t="shared" si="40"/>
        <v>9.0551322969235439</v>
      </c>
      <c r="AK39" s="13">
        <f t="shared" si="41"/>
        <v>1651537.354838518</v>
      </c>
      <c r="AL39" s="13">
        <f t="shared" si="42"/>
        <v>3102651.1902506221</v>
      </c>
      <c r="AM39" s="13">
        <f t="shared" si="20"/>
        <v>2377094.2725445703</v>
      </c>
      <c r="AN39" s="36">
        <f t="shared" si="43"/>
        <v>13.033252355503004</v>
      </c>
      <c r="AO39" s="13">
        <f t="shared" si="44"/>
        <v>166.67502520932857</v>
      </c>
      <c r="AP39" s="13">
        <f t="shared" si="45"/>
        <v>631.97052053368736</v>
      </c>
      <c r="AQ39" s="13">
        <f t="shared" si="21"/>
        <v>909.60915923365508</v>
      </c>
      <c r="AR39" s="41" t="s">
        <v>130</v>
      </c>
      <c r="AS39" s="20">
        <f t="shared" si="28"/>
        <v>427386.61538407998</v>
      </c>
      <c r="AT39" s="20">
        <f t="shared" si="29"/>
        <v>371460.458132</v>
      </c>
      <c r="AU39" s="20">
        <f t="shared" si="22"/>
        <v>7.9207064216580063</v>
      </c>
      <c r="AV39" s="20">
        <v>130</v>
      </c>
      <c r="AW39" s="20">
        <f t="shared" si="23"/>
        <v>1.0117833849602291</v>
      </c>
      <c r="AX39" s="14" t="s">
        <v>4</v>
      </c>
      <c r="AY39" s="21">
        <v>1.95</v>
      </c>
      <c r="AZ39" s="1">
        <v>586</v>
      </c>
      <c r="BA39" s="125">
        <f t="shared" si="24"/>
        <v>4.5608081814361096E-3</v>
      </c>
      <c r="BB39" s="1">
        <v>74</v>
      </c>
      <c r="BC39" s="127">
        <f t="shared" si="25"/>
        <v>5.7593823451582268E-4</v>
      </c>
    </row>
    <row r="40" spans="1:55">
      <c r="A40" s="10">
        <v>15036</v>
      </c>
      <c r="B40" s="10" t="s">
        <v>45</v>
      </c>
      <c r="C40" s="10">
        <v>246.95</v>
      </c>
      <c r="D40" s="11">
        <v>43784</v>
      </c>
      <c r="E40" s="11">
        <v>0</v>
      </c>
      <c r="F40" s="11">
        <v>34769</v>
      </c>
      <c r="G40" s="11">
        <v>9015</v>
      </c>
      <c r="H40" s="11">
        <v>53003.180869079755</v>
      </c>
      <c r="I40" s="11">
        <f t="shared" si="30"/>
        <v>55710.345412074363</v>
      </c>
      <c r="J40" s="13">
        <v>18.3</v>
      </c>
      <c r="K40" s="13">
        <v>20.2</v>
      </c>
      <c r="L40" s="13">
        <f t="shared" si="19"/>
        <v>24.453322070971382</v>
      </c>
      <c r="M40" s="13">
        <f t="shared" si="31"/>
        <v>25.702287989308928</v>
      </c>
      <c r="N40" s="13">
        <v>909</v>
      </c>
      <c r="O40" s="13">
        <f t="shared" si="32"/>
        <v>1156.6029595189018</v>
      </c>
      <c r="P40" s="14">
        <v>531.79999999999995</v>
      </c>
      <c r="Q40" s="14">
        <f t="shared" si="33"/>
        <v>1.2145989402521469E-2</v>
      </c>
      <c r="R40" s="15">
        <f t="shared" si="34"/>
        <v>2.1534723628264829</v>
      </c>
      <c r="S40" s="24">
        <v>67.3</v>
      </c>
      <c r="T40" s="24">
        <v>4.8</v>
      </c>
      <c r="U40" s="16">
        <v>44.8</v>
      </c>
      <c r="V40" s="17">
        <v>73.5</v>
      </c>
      <c r="W40" s="17">
        <v>73.599999999999994</v>
      </c>
      <c r="X40" s="17">
        <v>1.3</v>
      </c>
      <c r="Y40" s="13">
        <v>8880</v>
      </c>
      <c r="Z40" s="13">
        <v>0.2</v>
      </c>
      <c r="AA40" s="18">
        <v>8533198</v>
      </c>
      <c r="AB40" s="18">
        <f t="shared" si="35"/>
        <v>30719512.799999993</v>
      </c>
      <c r="AC40" s="18">
        <f t="shared" si="36"/>
        <v>194.89306596016809</v>
      </c>
      <c r="AD40" s="13">
        <f t="shared" si="37"/>
        <v>174514812.15167999</v>
      </c>
      <c r="AE40" s="13">
        <f t="shared" si="38"/>
        <v>38871083.45544</v>
      </c>
      <c r="AF40" s="13">
        <f t="shared" si="26"/>
        <v>213385895.60711998</v>
      </c>
      <c r="AG40" s="30">
        <v>191.29</v>
      </c>
      <c r="AH40" s="30">
        <v>191.29</v>
      </c>
      <c r="AI40" s="13">
        <f t="shared" si="39"/>
        <v>335031.15326720162</v>
      </c>
      <c r="AJ40" s="36">
        <f t="shared" si="40"/>
        <v>7.6519083059382789</v>
      </c>
      <c r="AK40" s="13">
        <f t="shared" si="41"/>
        <v>426290.45478534233</v>
      </c>
      <c r="AL40" s="13">
        <f t="shared" si="42"/>
        <v>800848.12072660867</v>
      </c>
      <c r="AM40" s="13">
        <f t="shared" si="20"/>
        <v>613569.2877559755</v>
      </c>
      <c r="AN40" s="36">
        <f t="shared" si="43"/>
        <v>11.013561004110985</v>
      </c>
      <c r="AO40" s="13">
        <f t="shared" si="44"/>
        <v>139.03691131907908</v>
      </c>
      <c r="AP40" s="13">
        <f t="shared" si="45"/>
        <v>368.57112570649241</v>
      </c>
      <c r="AQ40" s="13">
        <f t="shared" si="21"/>
        <v>530.49257976237107</v>
      </c>
      <c r="AR40" s="41" t="s">
        <v>130</v>
      </c>
      <c r="AS40" s="20">
        <f t="shared" si="28"/>
        <v>145639.95741151998</v>
      </c>
      <c r="AT40" s="20">
        <f t="shared" si="29"/>
        <v>107057.5447348</v>
      </c>
      <c r="AU40" s="20">
        <f t="shared" si="22"/>
        <v>6.6989846002918441</v>
      </c>
      <c r="AV40" s="20">
        <v>20</v>
      </c>
      <c r="AW40" s="20">
        <f t="shared" si="23"/>
        <v>0.45678786771423352</v>
      </c>
      <c r="AX40" s="14" t="s">
        <v>13</v>
      </c>
      <c r="AY40" s="21">
        <v>1.35</v>
      </c>
      <c r="AZ40" s="1">
        <v>182</v>
      </c>
      <c r="BA40" s="125">
        <f t="shared" si="24"/>
        <v>4.1567695961995249E-3</v>
      </c>
      <c r="BB40" s="1">
        <v>34</v>
      </c>
      <c r="BC40" s="127">
        <f t="shared" si="25"/>
        <v>7.76539375114197E-4</v>
      </c>
    </row>
    <row r="41" spans="1:55">
      <c r="A41" s="10">
        <v>15037</v>
      </c>
      <c r="B41" s="10" t="s">
        <v>46</v>
      </c>
      <c r="C41" s="10">
        <v>143.52000000000001</v>
      </c>
      <c r="D41" s="11">
        <v>267858</v>
      </c>
      <c r="E41" s="11">
        <v>159963</v>
      </c>
      <c r="F41" s="11">
        <v>80095</v>
      </c>
      <c r="G41" s="11">
        <v>27800</v>
      </c>
      <c r="H41" s="11">
        <v>318534.47371206549</v>
      </c>
      <c r="I41" s="11">
        <f t="shared" si="30"/>
        <v>334803.78470086702</v>
      </c>
      <c r="J41" s="13">
        <v>90.6</v>
      </c>
      <c r="K41" s="13">
        <v>100.4</v>
      </c>
      <c r="L41" s="13">
        <f t="shared" si="19"/>
        <v>119.39483293644908</v>
      </c>
      <c r="M41" s="13">
        <f t="shared" si="31"/>
        <v>125.49298502925822</v>
      </c>
      <c r="N41" s="13">
        <v>1469</v>
      </c>
      <c r="O41" s="13">
        <f t="shared" si="32"/>
        <v>1836.1473606372542</v>
      </c>
      <c r="P41" s="14">
        <v>40461.599999999999</v>
      </c>
      <c r="Q41" s="14">
        <f t="shared" si="33"/>
        <v>0.15105615662029881</v>
      </c>
      <c r="R41" s="15">
        <f t="shared" si="34"/>
        <v>281.92307692307691</v>
      </c>
      <c r="S41" s="24">
        <v>30.8</v>
      </c>
      <c r="T41" s="24">
        <v>2.6</v>
      </c>
      <c r="U41" s="16">
        <v>44</v>
      </c>
      <c r="V41" s="17">
        <v>77.3</v>
      </c>
      <c r="W41" s="17">
        <v>34.9</v>
      </c>
      <c r="X41" s="17">
        <v>26.3</v>
      </c>
      <c r="Y41" s="13">
        <v>157581</v>
      </c>
      <c r="Z41" s="13">
        <v>0.57999999999999996</v>
      </c>
      <c r="AA41" s="18">
        <v>296571638</v>
      </c>
      <c r="AB41" s="18">
        <f t="shared" si="35"/>
        <v>1067657896.8000001</v>
      </c>
      <c r="AC41" s="18">
        <f t="shared" si="36"/>
        <v>1107.1972388355025</v>
      </c>
      <c r="AD41" s="13">
        <f t="shared" si="37"/>
        <v>3096871465.5038161</v>
      </c>
      <c r="AE41" s="13">
        <f t="shared" si="38"/>
        <v>689791013.73780298</v>
      </c>
      <c r="AF41" s="13">
        <f t="shared" si="26"/>
        <v>3786662479.2416191</v>
      </c>
      <c r="AG41" s="30">
        <v>603.62</v>
      </c>
      <c r="AH41" s="30">
        <v>185.92</v>
      </c>
      <c r="AI41" s="13">
        <f t="shared" si="39"/>
        <v>2565437.4327067109</v>
      </c>
      <c r="AJ41" s="36">
        <f t="shared" si="40"/>
        <v>9.5776024337772654</v>
      </c>
      <c r="AK41" s="13">
        <f t="shared" si="41"/>
        <v>3206617.5431888634</v>
      </c>
      <c r="AL41" s="13">
        <f t="shared" si="42"/>
        <v>6024093.6772672851</v>
      </c>
      <c r="AM41" s="13">
        <f t="shared" si="20"/>
        <v>4615355.6102280747</v>
      </c>
      <c r="AN41" s="36">
        <f t="shared" si="43"/>
        <v>13.785255188652361</v>
      </c>
      <c r="AO41" s="13">
        <f t="shared" si="44"/>
        <v>134.81740776314538</v>
      </c>
      <c r="AP41" s="13">
        <f t="shared" si="45"/>
        <v>1746.3835484729141</v>
      </c>
      <c r="AQ41" s="13">
        <f t="shared" si="21"/>
        <v>2513.6084985173889</v>
      </c>
      <c r="AR41" s="41" t="s">
        <v>130</v>
      </c>
      <c r="AS41" s="20">
        <f t="shared" si="28"/>
        <v>890983.64042423991</v>
      </c>
      <c r="AT41" s="20">
        <f t="shared" si="29"/>
        <v>818866.7745710999</v>
      </c>
      <c r="AU41" s="20">
        <f t="shared" si="22"/>
        <v>8.3755968284064224</v>
      </c>
      <c r="AV41" s="20">
        <v>300</v>
      </c>
      <c r="AW41" s="20">
        <f t="shared" si="23"/>
        <v>1.1199964160114688</v>
      </c>
      <c r="AX41" s="14" t="s">
        <v>4</v>
      </c>
      <c r="AY41" s="21">
        <v>2.1</v>
      </c>
      <c r="AZ41" s="1">
        <v>2133</v>
      </c>
      <c r="BA41" s="125">
        <f t="shared" si="24"/>
        <v>7.9631745178415422E-3</v>
      </c>
      <c r="BB41" s="1">
        <v>160</v>
      </c>
      <c r="BC41" s="127">
        <f t="shared" si="25"/>
        <v>5.9733142187278333E-4</v>
      </c>
    </row>
    <row r="42" spans="1:55">
      <c r="A42" s="10">
        <v>15038</v>
      </c>
      <c r="B42" s="10" t="s">
        <v>47</v>
      </c>
      <c r="C42" s="10">
        <v>80.02</v>
      </c>
      <c r="D42" s="11">
        <v>11726</v>
      </c>
      <c r="E42" s="11">
        <v>0</v>
      </c>
      <c r="F42" s="11">
        <v>0</v>
      </c>
      <c r="G42" s="11">
        <v>11726</v>
      </c>
      <c r="H42" s="11">
        <v>14393.066635845567</v>
      </c>
      <c r="I42" s="11">
        <f t="shared" si="30"/>
        <v>15128.199867901272</v>
      </c>
      <c r="J42" s="13">
        <v>15.7</v>
      </c>
      <c r="K42" s="13">
        <v>17.600000000000001</v>
      </c>
      <c r="L42" s="13">
        <f t="shared" si="19"/>
        <v>21.603101892451136</v>
      </c>
      <c r="M42" s="13">
        <f t="shared" si="31"/>
        <v>22.706491358951258</v>
      </c>
      <c r="N42" s="13">
        <v>499</v>
      </c>
      <c r="O42" s="13">
        <f t="shared" si="32"/>
        <v>643.78063568844743</v>
      </c>
      <c r="P42" s="14">
        <v>174.1</v>
      </c>
      <c r="Q42" s="14">
        <f t="shared" si="33"/>
        <v>1.4847347774177042E-2</v>
      </c>
      <c r="R42" s="15">
        <f t="shared" si="34"/>
        <v>2.1757060734816296</v>
      </c>
      <c r="S42" s="24">
        <v>43.2</v>
      </c>
      <c r="T42" s="24">
        <v>2.2000000000000002</v>
      </c>
      <c r="U42" s="16">
        <v>69.7</v>
      </c>
      <c r="V42" s="17">
        <v>81.7</v>
      </c>
      <c r="W42" s="17">
        <v>73.7</v>
      </c>
      <c r="X42" s="17">
        <v>0.8</v>
      </c>
      <c r="Y42" s="13">
        <v>2242</v>
      </c>
      <c r="Z42" s="13">
        <v>0.19</v>
      </c>
      <c r="AA42" s="18">
        <v>2427819</v>
      </c>
      <c r="AB42" s="18">
        <f t="shared" si="35"/>
        <v>8740148.4000000004</v>
      </c>
      <c r="AC42" s="18">
        <f t="shared" si="36"/>
        <v>207.04579566774689</v>
      </c>
      <c r="AD42" s="13">
        <f t="shared" si="37"/>
        <v>44061059.554512002</v>
      </c>
      <c r="AE42" s="13">
        <f t="shared" si="38"/>
        <v>9814073.0976459999</v>
      </c>
      <c r="AF42" s="13">
        <f t="shared" si="26"/>
        <v>53875132.652158</v>
      </c>
      <c r="AG42" s="30" t="s">
        <v>130</v>
      </c>
      <c r="AH42" s="30" t="s">
        <v>130</v>
      </c>
      <c r="AI42" s="13">
        <f t="shared" si="39"/>
        <v>64084.513005370005</v>
      </c>
      <c r="AJ42" s="117">
        <f t="shared" si="40"/>
        <v>5.4651639950000002</v>
      </c>
      <c r="AK42" s="13">
        <f t="shared" si="41"/>
        <v>82678.093227217789</v>
      </c>
      <c r="AL42" s="13">
        <f t="shared" si="42"/>
        <v>155322.72619056865</v>
      </c>
      <c r="AM42" s="13">
        <f t="shared" si="20"/>
        <v>119000.40970889322</v>
      </c>
      <c r="AN42" s="117">
        <f t="shared" si="43"/>
        <v>7.8661315125394422</v>
      </c>
      <c r="AO42" s="13">
        <f t="shared" si="44"/>
        <v>142.37170403019726</v>
      </c>
      <c r="AP42" s="13">
        <f t="shared" si="45"/>
        <v>128.42587776627255</v>
      </c>
      <c r="AQ42" s="13">
        <f t="shared" si="21"/>
        <v>184.84620864937375</v>
      </c>
      <c r="AR42" s="41" t="s">
        <v>130</v>
      </c>
      <c r="AS42" s="20">
        <f t="shared" si="28"/>
        <v>39004.525411279996</v>
      </c>
      <c r="AT42" s="20">
        <f t="shared" si="29"/>
        <v>20522.928454599998</v>
      </c>
      <c r="AU42" s="20">
        <f t="shared" si="22"/>
        <v>4.7950879452054789</v>
      </c>
      <c r="AV42" s="20">
        <v>3.5</v>
      </c>
      <c r="AW42" s="20">
        <f t="shared" si="23"/>
        <v>0.29848200579907896</v>
      </c>
      <c r="AX42" s="14" t="s">
        <v>4</v>
      </c>
      <c r="AY42" s="21">
        <v>1.3</v>
      </c>
      <c r="AZ42" s="1">
        <v>28</v>
      </c>
      <c r="BA42" s="125">
        <f t="shared" si="24"/>
        <v>2.3878560463926318E-3</v>
      </c>
      <c r="BB42" s="1">
        <v>0</v>
      </c>
      <c r="BC42" s="127">
        <f t="shared" si="25"/>
        <v>0</v>
      </c>
    </row>
    <row r="43" spans="1:55">
      <c r="A43" s="10">
        <v>15039</v>
      </c>
      <c r="B43" s="10" t="s">
        <v>48</v>
      </c>
      <c r="C43" s="10">
        <v>318.27</v>
      </c>
      <c r="D43" s="11">
        <v>495563</v>
      </c>
      <c r="E43" s="11">
        <v>457825</v>
      </c>
      <c r="F43" s="11">
        <v>28785</v>
      </c>
      <c r="G43" s="11">
        <v>8953</v>
      </c>
      <c r="H43" s="11">
        <v>633645.3874361685</v>
      </c>
      <c r="I43" s="11">
        <f t="shared" si="30"/>
        <v>666009.14933823899</v>
      </c>
      <c r="J43" s="13">
        <v>131.5</v>
      </c>
      <c r="K43" s="13">
        <v>142.4</v>
      </c>
      <c r="L43" s="13">
        <f t="shared" si="19"/>
        <v>182.07796621400385</v>
      </c>
      <c r="M43" s="13">
        <f t="shared" si="31"/>
        <v>191.37769136470084</v>
      </c>
      <c r="N43" s="13">
        <v>2788</v>
      </c>
      <c r="O43" s="13">
        <f t="shared" si="32"/>
        <v>3746.9171595841699</v>
      </c>
      <c r="P43" s="14">
        <v>27927.5</v>
      </c>
      <c r="Q43" s="14">
        <f t="shared" si="33"/>
        <v>5.6355095114042006E-2</v>
      </c>
      <c r="R43" s="15">
        <f t="shared" si="34"/>
        <v>87.747824174443082</v>
      </c>
      <c r="S43" s="24">
        <v>54.2</v>
      </c>
      <c r="T43" s="24">
        <v>3.8</v>
      </c>
      <c r="U43" s="16">
        <v>56</v>
      </c>
      <c r="V43" s="17">
        <v>74.8</v>
      </c>
      <c r="W43" s="17">
        <v>46.4</v>
      </c>
      <c r="X43" s="17">
        <v>3.2</v>
      </c>
      <c r="Y43" s="13">
        <v>211280</v>
      </c>
      <c r="Z43" s="13">
        <v>0.42</v>
      </c>
      <c r="AA43" s="18">
        <v>350936128</v>
      </c>
      <c r="AB43" s="18">
        <f t="shared" si="35"/>
        <v>1263370060.8</v>
      </c>
      <c r="AC43" s="18">
        <f t="shared" si="36"/>
        <v>708.15643621497168</v>
      </c>
      <c r="AD43" s="13">
        <f t="shared" si="37"/>
        <v>4152194764.79808</v>
      </c>
      <c r="AE43" s="13">
        <f t="shared" si="38"/>
        <v>924851634.28663993</v>
      </c>
      <c r="AF43" s="13">
        <f t="shared" si="26"/>
        <v>5077046399.0847197</v>
      </c>
      <c r="AG43" s="30">
        <v>198.79</v>
      </c>
      <c r="AH43" s="30">
        <v>196.43</v>
      </c>
      <c r="AI43" s="13">
        <f t="shared" si="39"/>
        <v>5309051.3656125143</v>
      </c>
      <c r="AJ43" s="36">
        <f t="shared" si="40"/>
        <v>10.713171414356024</v>
      </c>
      <c r="AK43" s="13">
        <f t="shared" si="41"/>
        <v>7135070.1803899948</v>
      </c>
      <c r="AL43" s="13">
        <f t="shared" si="42"/>
        <v>13404258.718612686</v>
      </c>
      <c r="AM43" s="13">
        <f t="shared" si="20"/>
        <v>10269664.449501339</v>
      </c>
      <c r="AN43" s="36">
        <f t="shared" si="43"/>
        <v>15.419704758869303</v>
      </c>
      <c r="AO43" s="13">
        <f t="shared" si="44"/>
        <v>152.47935639564514</v>
      </c>
      <c r="AP43" s="13">
        <f t="shared" si="45"/>
        <v>1904.2508484980324</v>
      </c>
      <c r="AQ43" s="13">
        <f t="shared" si="21"/>
        <v>2740.8303979266675</v>
      </c>
      <c r="AR43" s="41" t="s">
        <v>130</v>
      </c>
      <c r="AS43" s="20">
        <f t="shared" si="28"/>
        <v>1648405.2214216399</v>
      </c>
      <c r="AT43" s="20">
        <f t="shared" si="29"/>
        <v>1693816.3037808</v>
      </c>
      <c r="AU43" s="20">
        <f t="shared" si="22"/>
        <v>9.3642838813593468</v>
      </c>
      <c r="AV43" s="20">
        <v>54</v>
      </c>
      <c r="AW43" s="20">
        <f t="shared" si="23"/>
        <v>0.10896697291767142</v>
      </c>
      <c r="AX43" s="14" t="s">
        <v>4</v>
      </c>
      <c r="AY43" s="21">
        <v>1.98</v>
      </c>
      <c r="AZ43" s="1">
        <v>3370</v>
      </c>
      <c r="BA43" s="125">
        <f t="shared" si="24"/>
        <v>6.8003462728250495E-3</v>
      </c>
      <c r="BB43" s="1">
        <v>444</v>
      </c>
      <c r="BC43" s="127">
        <f t="shared" si="25"/>
        <v>8.95950666211965E-4</v>
      </c>
    </row>
    <row r="44" spans="1:55">
      <c r="A44" s="10">
        <v>15044</v>
      </c>
      <c r="B44" s="10" t="s">
        <v>49</v>
      </c>
      <c r="C44" s="10">
        <v>4.45</v>
      </c>
      <c r="D44" s="11">
        <v>27825</v>
      </c>
      <c r="E44" s="11">
        <v>16101</v>
      </c>
      <c r="F44" s="11">
        <v>11724</v>
      </c>
      <c r="G44" s="11">
        <v>0</v>
      </c>
      <c r="H44" s="11">
        <v>32872.481081603692</v>
      </c>
      <c r="I44" s="11">
        <f t="shared" si="30"/>
        <v>34551.459847881713</v>
      </c>
      <c r="J44" s="13">
        <v>186.2</v>
      </c>
      <c r="K44" s="13">
        <v>157.69999999999999</v>
      </c>
      <c r="L44" s="13">
        <f t="shared" si="19"/>
        <v>186.30692781918785</v>
      </c>
      <c r="M44" s="13">
        <f t="shared" si="31"/>
        <v>195.82264934450839</v>
      </c>
      <c r="N44" s="13">
        <v>3565</v>
      </c>
      <c r="O44" s="13">
        <f t="shared" si="32"/>
        <v>4426.8087819478278</v>
      </c>
      <c r="P44" s="14">
        <v>342.4</v>
      </c>
      <c r="Q44" s="14">
        <f t="shared" si="33"/>
        <v>1.2305480682839173E-2</v>
      </c>
      <c r="R44" s="15">
        <f t="shared" si="34"/>
        <v>76.94382022471909</v>
      </c>
      <c r="S44" s="24">
        <v>47.8</v>
      </c>
      <c r="T44" s="24">
        <v>4.5</v>
      </c>
      <c r="U44" s="16">
        <v>56.2</v>
      </c>
      <c r="V44" s="17">
        <v>85</v>
      </c>
      <c r="W44" s="17">
        <v>53.5</v>
      </c>
      <c r="X44" s="17">
        <v>1.4</v>
      </c>
      <c r="Y44" s="13">
        <v>8600</v>
      </c>
      <c r="Z44" s="13">
        <v>0.3</v>
      </c>
      <c r="AA44" s="18">
        <v>10980918</v>
      </c>
      <c r="AB44" s="18">
        <f t="shared" si="35"/>
        <v>39531304.799999997</v>
      </c>
      <c r="AC44" s="18">
        <f t="shared" si="36"/>
        <v>394.6421563342318</v>
      </c>
      <c r="AD44" s="13">
        <f t="shared" si="37"/>
        <v>169012092.84959999</v>
      </c>
      <c r="AE44" s="13">
        <f t="shared" si="38"/>
        <v>37645418.661799997</v>
      </c>
      <c r="AF44" s="13">
        <f t="shared" si="26"/>
        <v>206657511.51139998</v>
      </c>
      <c r="AG44" s="30">
        <v>312.19</v>
      </c>
      <c r="AH44" s="30">
        <v>312.19</v>
      </c>
      <c r="AI44" s="13">
        <f t="shared" si="39"/>
        <v>273028.49996791722</v>
      </c>
      <c r="AJ44" s="36">
        <f t="shared" si="40"/>
        <v>9.8123450123240694</v>
      </c>
      <c r="AK44" s="13">
        <f t="shared" si="41"/>
        <v>339030.84470687748</v>
      </c>
      <c r="AL44" s="13">
        <f t="shared" si="42"/>
        <v>636918.35415028688</v>
      </c>
      <c r="AM44" s="13">
        <f t="shared" si="20"/>
        <v>487974.59942858218</v>
      </c>
      <c r="AN44" s="36">
        <f t="shared" si="43"/>
        <v>14.12312537811623</v>
      </c>
      <c r="AO44" s="13">
        <f t="shared" si="44"/>
        <v>133.27907314625739</v>
      </c>
      <c r="AP44" s="13">
        <f t="shared" si="45"/>
        <v>76.585834493104414</v>
      </c>
      <c r="AQ44" s="13">
        <f t="shared" si="21"/>
        <v>110.2316868572466</v>
      </c>
      <c r="AR44" s="41" t="s">
        <v>130</v>
      </c>
      <c r="AS44" s="20">
        <f t="shared" si="28"/>
        <v>92555.084390999997</v>
      </c>
      <c r="AT44" s="20">
        <f t="shared" si="29"/>
        <v>87139.311680999992</v>
      </c>
      <c r="AU44" s="20">
        <f t="shared" si="22"/>
        <v>8.5799762882989317</v>
      </c>
      <c r="AV44" s="20">
        <v>9</v>
      </c>
      <c r="AW44" s="20">
        <f t="shared" si="23"/>
        <v>0.32345013477088946</v>
      </c>
      <c r="AX44" s="14" t="s">
        <v>17</v>
      </c>
      <c r="AY44" s="21">
        <v>1.23</v>
      </c>
      <c r="AZ44" s="1">
        <v>110</v>
      </c>
      <c r="BA44" s="125">
        <f t="shared" si="24"/>
        <v>3.9532794249775381E-3</v>
      </c>
      <c r="BB44" s="1">
        <v>30</v>
      </c>
      <c r="BC44" s="127">
        <f t="shared" si="25"/>
        <v>1.0781671159029651E-3</v>
      </c>
    </row>
    <row r="45" spans="1:55">
      <c r="A45" s="10">
        <v>15046</v>
      </c>
      <c r="B45" s="10" t="s">
        <v>50</v>
      </c>
      <c r="C45" s="10">
        <v>124.8</v>
      </c>
      <c r="D45" s="11">
        <v>19013</v>
      </c>
      <c r="E45" s="11">
        <v>0</v>
      </c>
      <c r="F45" s="11">
        <v>7339</v>
      </c>
      <c r="G45" s="11">
        <v>11674</v>
      </c>
      <c r="H45" s="11">
        <v>26518.125473008622</v>
      </c>
      <c r="I45" s="11">
        <f t="shared" si="30"/>
        <v>27872.552280043714</v>
      </c>
      <c r="J45" s="13">
        <v>17.100000000000001</v>
      </c>
      <c r="K45" s="13">
        <v>20.8</v>
      </c>
      <c r="L45" s="13">
        <f t="shared" si="19"/>
        <v>29.010519635963778</v>
      </c>
      <c r="M45" s="13">
        <f t="shared" si="31"/>
        <v>30.49224674827272</v>
      </c>
      <c r="N45" s="13">
        <v>831</v>
      </c>
      <c r="O45" s="13">
        <f t="shared" si="32"/>
        <v>1218.2238965295498</v>
      </c>
      <c r="P45" s="14">
        <v>137.5</v>
      </c>
      <c r="Q45" s="14">
        <f t="shared" si="33"/>
        <v>7.2318939672855412E-3</v>
      </c>
      <c r="R45" s="15">
        <f t="shared" si="34"/>
        <v>1.1017628205128205</v>
      </c>
      <c r="S45" s="24">
        <v>44.3</v>
      </c>
      <c r="T45" s="24">
        <v>2.2999999999999998</v>
      </c>
      <c r="U45" s="16">
        <v>66.2</v>
      </c>
      <c r="V45" s="17">
        <v>84.3</v>
      </c>
      <c r="W45" s="17">
        <v>59.1</v>
      </c>
      <c r="X45" s="17">
        <v>3</v>
      </c>
      <c r="Y45" s="13">
        <v>5920</v>
      </c>
      <c r="Z45" s="13">
        <v>0.31</v>
      </c>
      <c r="AA45" s="18">
        <v>9624568</v>
      </c>
      <c r="AB45" s="18">
        <f t="shared" si="35"/>
        <v>34648444.800000004</v>
      </c>
      <c r="AC45" s="18">
        <f t="shared" si="36"/>
        <v>506.20985641403252</v>
      </c>
      <c r="AD45" s="13">
        <f t="shared" si="37"/>
        <v>116343208.10112</v>
      </c>
      <c r="AE45" s="13">
        <f t="shared" si="38"/>
        <v>25914055.63696</v>
      </c>
      <c r="AF45" s="13">
        <f t="shared" si="26"/>
        <v>142257263.73807999</v>
      </c>
      <c r="AG45" s="30" t="s">
        <v>130</v>
      </c>
      <c r="AH45" s="30" t="s">
        <v>130</v>
      </c>
      <c r="AI45" s="13">
        <f t="shared" si="39"/>
        <v>124118.78213289354</v>
      </c>
      <c r="AJ45" s="36">
        <f t="shared" si="40"/>
        <v>6.5281008853360092</v>
      </c>
      <c r="AK45" s="13">
        <f t="shared" si="41"/>
        <v>181954.83321592756</v>
      </c>
      <c r="AL45" s="13">
        <f t="shared" si="42"/>
        <v>341828.40502838651</v>
      </c>
      <c r="AM45" s="13">
        <f t="shared" si="20"/>
        <v>261891.61912215705</v>
      </c>
      <c r="AN45" s="36">
        <f t="shared" si="43"/>
        <v>9.3960401075170683</v>
      </c>
      <c r="AO45" s="13">
        <f t="shared" si="44"/>
        <v>175.40425321156636</v>
      </c>
      <c r="AP45" s="13">
        <f t="shared" si="45"/>
        <v>149.36074865570822</v>
      </c>
      <c r="AQ45" s="13">
        <f t="shared" si="21"/>
        <v>214.97823172589889</v>
      </c>
      <c r="AR45" s="41" t="s">
        <v>130</v>
      </c>
      <c r="AS45" s="20">
        <f t="shared" si="28"/>
        <v>63243.479587639995</v>
      </c>
      <c r="AT45" s="20">
        <f t="shared" si="29"/>
        <v>39699.072912700001</v>
      </c>
      <c r="AU45" s="20">
        <f t="shared" si="22"/>
        <v>5.7205377017022965</v>
      </c>
      <c r="AV45" s="20">
        <v>10</v>
      </c>
      <c r="AW45" s="20">
        <f t="shared" si="23"/>
        <v>0.52595592489349396</v>
      </c>
      <c r="AX45" s="14" t="s">
        <v>4</v>
      </c>
      <c r="AY45" s="21">
        <v>1.68</v>
      </c>
      <c r="AZ45" s="1">
        <v>105</v>
      </c>
      <c r="BA45" s="125">
        <f t="shared" si="24"/>
        <v>5.5225372113816866E-3</v>
      </c>
      <c r="BB45" s="1">
        <v>9</v>
      </c>
      <c r="BC45" s="127">
        <f t="shared" si="25"/>
        <v>4.7336033240414456E-4</v>
      </c>
    </row>
    <row r="46" spans="1:55">
      <c r="A46" s="10">
        <v>15050</v>
      </c>
      <c r="B46" s="10" t="s">
        <v>51</v>
      </c>
      <c r="C46" s="10">
        <v>141.09</v>
      </c>
      <c r="D46" s="11">
        <v>25436</v>
      </c>
      <c r="E46" s="11">
        <v>17343</v>
      </c>
      <c r="F46" s="11">
        <v>6780</v>
      </c>
      <c r="G46" s="11">
        <v>1313</v>
      </c>
      <c r="H46" s="11">
        <v>31993.22728669786</v>
      </c>
      <c r="I46" s="11">
        <f t="shared" si="30"/>
        <v>33627.297716177345</v>
      </c>
      <c r="J46" s="13">
        <v>64.5</v>
      </c>
      <c r="K46" s="13">
        <v>72.7</v>
      </c>
      <c r="L46" s="13">
        <f t="shared" si="19"/>
        <v>91.441564072296529</v>
      </c>
      <c r="M46" s="13">
        <f t="shared" si="31"/>
        <v>96.111988676131972</v>
      </c>
      <c r="N46" s="13">
        <v>1942</v>
      </c>
      <c r="O46" s="13">
        <f t="shared" si="32"/>
        <v>2567.3931500556851</v>
      </c>
      <c r="P46" s="14">
        <v>746.2</v>
      </c>
      <c r="Q46" s="14">
        <f t="shared" si="33"/>
        <v>2.9336373643654663E-2</v>
      </c>
      <c r="R46" s="15">
        <f t="shared" si="34"/>
        <v>5.2888227372599053</v>
      </c>
      <c r="S46" s="24">
        <v>71.400000000000006</v>
      </c>
      <c r="T46" s="24">
        <v>5.9</v>
      </c>
      <c r="U46" s="16">
        <v>69.599999999999994</v>
      </c>
      <c r="V46" s="17">
        <v>85.9</v>
      </c>
      <c r="W46" s="17">
        <v>84.2</v>
      </c>
      <c r="X46" s="17">
        <v>3</v>
      </c>
      <c r="Y46" s="13">
        <v>4228</v>
      </c>
      <c r="Z46" s="13">
        <v>0.16</v>
      </c>
      <c r="AA46" s="18">
        <v>6394797</v>
      </c>
      <c r="AB46" s="18">
        <f t="shared" si="35"/>
        <v>23021269.199999999</v>
      </c>
      <c r="AC46" s="18">
        <f t="shared" si="36"/>
        <v>251.4073360591288</v>
      </c>
      <c r="AD46" s="13">
        <f t="shared" si="37"/>
        <v>83091061.461408004</v>
      </c>
      <c r="AE46" s="13">
        <f t="shared" si="38"/>
        <v>18507538.383963998</v>
      </c>
      <c r="AF46" s="13">
        <f t="shared" si="26"/>
        <v>101598599.84537201</v>
      </c>
      <c r="AG46" s="30" t="s">
        <v>130</v>
      </c>
      <c r="AH46" s="30" t="s">
        <v>130</v>
      </c>
      <c r="AI46" s="13">
        <f t="shared" si="39"/>
        <v>253198.04918461578</v>
      </c>
      <c r="AJ46" s="36">
        <f t="shared" si="40"/>
        <v>9.9543186501264262</v>
      </c>
      <c r="AK46" s="13">
        <f t="shared" si="41"/>
        <v>334736.83680949791</v>
      </c>
      <c r="AL46" s="13">
        <f t="shared" si="42"/>
        <v>628851.44081362011</v>
      </c>
      <c r="AM46" s="13">
        <f t="shared" si="20"/>
        <v>481794.13881155901</v>
      </c>
      <c r="AN46" s="36">
        <f t="shared" si="43"/>
        <v>14.327471177672971</v>
      </c>
      <c r="AO46" s="13">
        <f t="shared" si="44"/>
        <v>148.36346205617957</v>
      </c>
      <c r="AP46" s="13">
        <f t="shared" si="45"/>
        <v>130.38004592410698</v>
      </c>
      <c r="AQ46" s="13">
        <f t="shared" si="21"/>
        <v>187.65888613557655</v>
      </c>
      <c r="AR46" s="41" t="s">
        <v>130</v>
      </c>
      <c r="AS46" s="20">
        <f t="shared" si="28"/>
        <v>84608.486130079997</v>
      </c>
      <c r="AT46" s="20">
        <f t="shared" si="29"/>
        <v>80805.311938899991</v>
      </c>
      <c r="AU46" s="20">
        <f t="shared" si="22"/>
        <v>8.7035861090957258</v>
      </c>
      <c r="AV46" s="20">
        <v>12</v>
      </c>
      <c r="AW46" s="20">
        <f t="shared" si="23"/>
        <v>0.47177229124076114</v>
      </c>
      <c r="AX46" s="14" t="s">
        <v>4</v>
      </c>
      <c r="AY46" s="21">
        <v>1.46</v>
      </c>
      <c r="AZ46" s="1">
        <v>83</v>
      </c>
      <c r="BA46" s="125">
        <f t="shared" si="24"/>
        <v>3.263091681081931E-3</v>
      </c>
      <c r="BB46" s="1">
        <v>7</v>
      </c>
      <c r="BC46" s="127">
        <f t="shared" si="25"/>
        <v>2.7520050322377734E-4</v>
      </c>
    </row>
    <row r="47" spans="1:55">
      <c r="A47" s="10">
        <v>15053</v>
      </c>
      <c r="B47" s="10" t="s">
        <v>52</v>
      </c>
      <c r="C47" s="10">
        <v>32.479999999999997</v>
      </c>
      <c r="D47" s="11">
        <v>57152</v>
      </c>
      <c r="E47" s="11">
        <v>43909</v>
      </c>
      <c r="F47" s="11">
        <v>11815</v>
      </c>
      <c r="G47" s="11">
        <v>1428</v>
      </c>
      <c r="H47" s="11">
        <v>75956.345396523218</v>
      </c>
      <c r="I47" s="11">
        <f t="shared" si="30"/>
        <v>79835.854544867092</v>
      </c>
      <c r="J47" s="13">
        <v>56.5</v>
      </c>
      <c r="K47" s="13">
        <v>65.900000000000006</v>
      </c>
      <c r="L47" s="13">
        <f t="shared" si="19"/>
        <v>87.582642105803473</v>
      </c>
      <c r="M47" s="13">
        <f t="shared" si="31"/>
        <v>92.055970298620196</v>
      </c>
      <c r="N47" s="13">
        <v>1910</v>
      </c>
      <c r="O47" s="13">
        <f t="shared" si="32"/>
        <v>2668.0865443150924</v>
      </c>
      <c r="P47" s="14">
        <v>977.4</v>
      </c>
      <c r="Q47" s="14">
        <f t="shared" si="33"/>
        <v>1.7101763717805151E-2</v>
      </c>
      <c r="R47" s="15">
        <f t="shared" si="34"/>
        <v>30.092364532019708</v>
      </c>
      <c r="S47" s="24">
        <v>46.9</v>
      </c>
      <c r="T47" s="24">
        <v>3.5</v>
      </c>
      <c r="U47" s="16">
        <v>58</v>
      </c>
      <c r="V47" s="17">
        <v>77.599999999999994</v>
      </c>
      <c r="W47" s="17">
        <v>48</v>
      </c>
      <c r="X47" s="17">
        <v>3.5</v>
      </c>
      <c r="Y47" s="13">
        <v>18549</v>
      </c>
      <c r="Z47" s="13">
        <v>0.32</v>
      </c>
      <c r="AA47" s="18">
        <v>25476235</v>
      </c>
      <c r="AB47" s="18">
        <f t="shared" si="35"/>
        <v>91714446</v>
      </c>
      <c r="AC47" s="18">
        <f t="shared" si="36"/>
        <v>445.76279045352743</v>
      </c>
      <c r="AD47" s="13">
        <f t="shared" si="37"/>
        <v>364535501.19386399</v>
      </c>
      <c r="AE47" s="13">
        <f t="shared" si="38"/>
        <v>81195915.204386994</v>
      </c>
      <c r="AF47" s="13">
        <f t="shared" si="26"/>
        <v>445731416.398251</v>
      </c>
      <c r="AG47" s="30" t="s">
        <v>130</v>
      </c>
      <c r="AH47" s="30" t="s">
        <v>130</v>
      </c>
      <c r="AI47" s="13">
        <f t="shared" si="39"/>
        <v>586707.3607539268</v>
      </c>
      <c r="AJ47" s="36">
        <f t="shared" si="40"/>
        <v>10.265736295386457</v>
      </c>
      <c r="AK47" s="13">
        <f t="shared" si="41"/>
        <v>819573.8296744359</v>
      </c>
      <c r="AL47" s="13">
        <f t="shared" si="42"/>
        <v>1539687.6798988788</v>
      </c>
      <c r="AM47" s="13">
        <f t="shared" si="20"/>
        <v>1179630.7547866574</v>
      </c>
      <c r="AN47" s="36">
        <f t="shared" si="43"/>
        <v>14.775701487903717</v>
      </c>
      <c r="AO47" s="13">
        <f t="shared" si="44"/>
        <v>162.4285602826526</v>
      </c>
      <c r="AP47" s="13">
        <f t="shared" si="45"/>
        <v>307.17662866697736</v>
      </c>
      <c r="AQ47" s="13">
        <f t="shared" si="21"/>
        <v>442.12612117103305</v>
      </c>
      <c r="AR47" s="41" t="s">
        <v>130</v>
      </c>
      <c r="AS47" s="20">
        <f t="shared" si="28"/>
        <v>190106.31385856</v>
      </c>
      <c r="AT47" s="20">
        <f t="shared" si="29"/>
        <v>187217.02876709998</v>
      </c>
      <c r="AU47" s="20">
        <f t="shared" si="22"/>
        <v>8.9747229578178445</v>
      </c>
      <c r="AV47" s="20">
        <v>25</v>
      </c>
      <c r="AW47" s="20">
        <f t="shared" si="23"/>
        <v>0.43743001119820829</v>
      </c>
      <c r="AX47" s="14" t="s">
        <v>17</v>
      </c>
      <c r="AY47" s="21">
        <v>1.33</v>
      </c>
      <c r="AZ47" s="1">
        <v>414</v>
      </c>
      <c r="BA47" s="125">
        <f t="shared" si="24"/>
        <v>7.243840985442329E-3</v>
      </c>
      <c r="BB47" s="1">
        <v>57</v>
      </c>
      <c r="BC47" s="127">
        <f t="shared" si="25"/>
        <v>9.9734042553191482E-4</v>
      </c>
    </row>
    <row r="48" spans="1:55">
      <c r="A48" s="10">
        <v>15057</v>
      </c>
      <c r="B48" s="10" t="s">
        <v>53</v>
      </c>
      <c r="C48" s="10">
        <v>155.69999999999999</v>
      </c>
      <c r="D48" s="11">
        <v>844219</v>
      </c>
      <c r="E48" s="11">
        <v>802131</v>
      </c>
      <c r="F48" s="11">
        <v>19991</v>
      </c>
      <c r="G48" s="11">
        <v>22097</v>
      </c>
      <c r="H48" s="11">
        <v>1034469.4033139143</v>
      </c>
      <c r="I48" s="11">
        <f t="shared" si="30"/>
        <v>1087305.4566138384</v>
      </c>
      <c r="J48" s="13">
        <v>205.3</v>
      </c>
      <c r="K48" s="13">
        <v>192.8</v>
      </c>
      <c r="L48" s="13">
        <f t="shared" si="19"/>
        <v>236.24877070869368</v>
      </c>
      <c r="M48" s="13">
        <f t="shared" si="31"/>
        <v>248.31529737561945</v>
      </c>
      <c r="N48" s="13">
        <v>3390</v>
      </c>
      <c r="O48" s="13">
        <f t="shared" si="32"/>
        <v>4366.1247826937242</v>
      </c>
      <c r="P48" s="14">
        <v>279165.09999999998</v>
      </c>
      <c r="Q48" s="14">
        <f t="shared" si="33"/>
        <v>0.33067853246610179</v>
      </c>
      <c r="R48" s="15">
        <f t="shared" si="34"/>
        <v>1792.9678869621066</v>
      </c>
      <c r="S48" s="24">
        <v>37.1</v>
      </c>
      <c r="T48" s="24">
        <v>4.4000000000000004</v>
      </c>
      <c r="U48" s="16">
        <v>52</v>
      </c>
      <c r="V48" s="17">
        <v>77.599999999999994</v>
      </c>
      <c r="W48" s="17">
        <v>27.8</v>
      </c>
      <c r="X48" s="17">
        <v>9.8000000000000007</v>
      </c>
      <c r="Y48" s="13">
        <v>589156</v>
      </c>
      <c r="Z48" s="13">
        <v>0.69</v>
      </c>
      <c r="AA48" s="18">
        <v>1009288320</v>
      </c>
      <c r="AB48" s="18">
        <f t="shared" si="35"/>
        <v>3633437952</v>
      </c>
      <c r="AC48" s="18">
        <f t="shared" si="36"/>
        <v>1195.52902742061</v>
      </c>
      <c r="AD48" s="13">
        <f t="shared" si="37"/>
        <v>11578428904.058016</v>
      </c>
      <c r="AE48" s="13">
        <f t="shared" si="38"/>
        <v>2578956311.292028</v>
      </c>
      <c r="AF48" s="13">
        <f t="shared" si="26"/>
        <v>14157385215.350044</v>
      </c>
      <c r="AG48" s="30">
        <v>264.32</v>
      </c>
      <c r="AH48" s="30">
        <v>160.1</v>
      </c>
      <c r="AI48" s="13">
        <f t="shared" si="39"/>
        <v>9086548.3066244218</v>
      </c>
      <c r="AJ48" s="36">
        <f t="shared" si="40"/>
        <v>10.763259659667009</v>
      </c>
      <c r="AK48" s="13">
        <f t="shared" si="41"/>
        <v>11702950.958907545</v>
      </c>
      <c r="AL48" s="13">
        <f t="shared" si="42"/>
        <v>21985681.774451565</v>
      </c>
      <c r="AM48" s="13">
        <f t="shared" si="20"/>
        <v>16844316.366679557</v>
      </c>
      <c r="AN48" s="36">
        <f t="shared" si="43"/>
        <v>15.49179787907741</v>
      </c>
      <c r="AO48" s="13">
        <f t="shared" si="44"/>
        <v>141.95856372021058</v>
      </c>
      <c r="AP48" s="13">
        <f t="shared" si="45"/>
        <v>2680.3977305676763</v>
      </c>
      <c r="AQ48" s="13">
        <f t="shared" si="21"/>
        <v>3857.9557857453829</v>
      </c>
      <c r="AR48" s="20">
        <v>1736</v>
      </c>
      <c r="AS48" s="20">
        <f t="shared" si="28"/>
        <v>2808149.5342133199</v>
      </c>
      <c r="AT48" s="20">
        <f t="shared" si="29"/>
        <v>2898947.6551525998</v>
      </c>
      <c r="AU48" s="20">
        <f t="shared" si="22"/>
        <v>9.4078933817929187</v>
      </c>
      <c r="AV48" s="20">
        <v>548.67999999999995</v>
      </c>
      <c r="AW48" s="20">
        <f t="shared" si="23"/>
        <v>0.64992614475627775</v>
      </c>
      <c r="AX48" s="14" t="s">
        <v>17</v>
      </c>
      <c r="AY48" s="21">
        <v>2.02</v>
      </c>
      <c r="AZ48" s="1">
        <v>7845</v>
      </c>
      <c r="BA48" s="125">
        <f t="shared" si="24"/>
        <v>9.2926124619322707E-3</v>
      </c>
      <c r="BB48" s="1">
        <v>1044</v>
      </c>
      <c r="BC48" s="127">
        <f t="shared" si="25"/>
        <v>1.2366459413967229E-3</v>
      </c>
    </row>
    <row r="49" spans="1:55">
      <c r="A49" s="10">
        <v>15058</v>
      </c>
      <c r="B49" s="10" t="s">
        <v>54</v>
      </c>
      <c r="C49" s="10">
        <v>63.74</v>
      </c>
      <c r="D49" s="11">
        <v>1039867</v>
      </c>
      <c r="E49" s="11">
        <v>1034268</v>
      </c>
      <c r="F49" s="11">
        <v>3081</v>
      </c>
      <c r="G49" s="11">
        <v>2518</v>
      </c>
      <c r="H49" s="11">
        <v>1334201.3309187316</v>
      </c>
      <c r="I49" s="11">
        <f t="shared" si="30"/>
        <v>1402346.3455585318</v>
      </c>
      <c r="J49" s="13">
        <v>257.2</v>
      </c>
      <c r="K49" s="13">
        <v>226.8</v>
      </c>
      <c r="L49" s="13">
        <f t="shared" si="19"/>
        <v>290.99573488952757</v>
      </c>
      <c r="M49" s="13">
        <f t="shared" si="31"/>
        <v>305.8584907230204</v>
      </c>
      <c r="N49" s="13">
        <v>5544</v>
      </c>
      <c r="O49" s="13">
        <f t="shared" si="32"/>
        <v>7476.5408843404975</v>
      </c>
      <c r="P49" s="14">
        <v>45094.400000000001</v>
      </c>
      <c r="Q49" s="14">
        <f t="shared" si="33"/>
        <v>4.3365545786143808E-2</v>
      </c>
      <c r="R49" s="15">
        <f t="shared" si="34"/>
        <v>707.4741135864449</v>
      </c>
      <c r="S49" s="24">
        <v>38.700000000000003</v>
      </c>
      <c r="T49" s="24">
        <v>4.4000000000000004</v>
      </c>
      <c r="U49" s="16">
        <v>51.4</v>
      </c>
      <c r="V49" s="17">
        <v>73.900000000000006</v>
      </c>
      <c r="W49" s="17">
        <v>40.9</v>
      </c>
      <c r="X49" s="17">
        <v>2.9</v>
      </c>
      <c r="Y49" s="13">
        <v>786500</v>
      </c>
      <c r="Z49" s="13">
        <v>0.75</v>
      </c>
      <c r="AA49" s="18">
        <v>572633758</v>
      </c>
      <c r="AB49" s="18">
        <f t="shared" si="35"/>
        <v>2061481528.7999997</v>
      </c>
      <c r="AC49" s="18">
        <f t="shared" si="36"/>
        <v>550.67980616751947</v>
      </c>
      <c r="AD49" s="13">
        <f t="shared" si="37"/>
        <v>15456745468.164</v>
      </c>
      <c r="AE49" s="13">
        <f t="shared" si="38"/>
        <v>3442804857.8494997</v>
      </c>
      <c r="AF49" s="13">
        <f t="shared" si="26"/>
        <v>18899550326.0135</v>
      </c>
      <c r="AG49" s="30">
        <v>200</v>
      </c>
      <c r="AH49" s="30"/>
      <c r="AI49" s="13">
        <f t="shared" si="39"/>
        <v>11387716.051939959</v>
      </c>
      <c r="AJ49" s="36">
        <f t="shared" si="40"/>
        <v>10.951127453741641</v>
      </c>
      <c r="AK49" s="13">
        <f t="shared" si="41"/>
        <v>15357273.5645003</v>
      </c>
      <c r="AL49" s="13">
        <f t="shared" si="42"/>
        <v>28850854.002366882</v>
      </c>
      <c r="AM49" s="13">
        <f t="shared" si="20"/>
        <v>22104063.78343359</v>
      </c>
      <c r="AN49" s="36">
        <f t="shared" si="43"/>
        <v>15.762200153650273</v>
      </c>
      <c r="AO49" s="13">
        <f t="shared" si="44"/>
        <v>153.35066198328667</v>
      </c>
      <c r="AP49" s="13">
        <f t="shared" si="45"/>
        <v>2054.0613369300072</v>
      </c>
      <c r="AQ49" s="13">
        <f t="shared" si="21"/>
        <v>2956.4559500677938</v>
      </c>
      <c r="AR49" s="20">
        <v>5411</v>
      </c>
      <c r="AS49" s="20">
        <f t="shared" si="28"/>
        <v>3458939.0095387599</v>
      </c>
      <c r="AT49" s="20">
        <f t="shared" si="29"/>
        <v>3632861.9975500996</v>
      </c>
      <c r="AU49" s="20">
        <f t="shared" si="22"/>
        <v>9.5714611278465505</v>
      </c>
      <c r="AV49" s="20">
        <v>1200</v>
      </c>
      <c r="AW49" s="20">
        <f t="shared" si="23"/>
        <v>1.153993731890713</v>
      </c>
      <c r="AX49" s="14" t="s">
        <v>13</v>
      </c>
      <c r="AY49" s="21">
        <v>1.67</v>
      </c>
      <c r="AZ49" s="1">
        <v>10564</v>
      </c>
      <c r="BA49" s="125">
        <f t="shared" si="24"/>
        <v>1.0158991486411244E-2</v>
      </c>
      <c r="BB49" s="1">
        <v>1540</v>
      </c>
      <c r="BC49" s="127">
        <f t="shared" si="25"/>
        <v>1.4809586225930816E-3</v>
      </c>
    </row>
    <row r="50" spans="1:55">
      <c r="A50" s="10">
        <v>15059</v>
      </c>
      <c r="B50" s="10" t="s">
        <v>55</v>
      </c>
      <c r="C50" s="10">
        <v>54.51</v>
      </c>
      <c r="D50" s="11">
        <v>39666</v>
      </c>
      <c r="E50" s="11">
        <v>0</v>
      </c>
      <c r="F50" s="11">
        <v>32749</v>
      </c>
      <c r="G50" s="11">
        <v>6917</v>
      </c>
      <c r="H50" s="11">
        <v>56950.479121078701</v>
      </c>
      <c r="I50" s="11">
        <f t="shared" si="30"/>
        <v>59859.25393902701</v>
      </c>
      <c r="J50" s="13">
        <v>19.100000000000001</v>
      </c>
      <c r="K50" s="13">
        <v>31.5</v>
      </c>
      <c r="L50" s="13">
        <f t="shared" si="19"/>
        <v>45.226140581706723</v>
      </c>
      <c r="M50" s="13">
        <f t="shared" si="31"/>
        <v>47.536088818619234</v>
      </c>
      <c r="N50" s="13">
        <v>1082</v>
      </c>
      <c r="O50" s="13">
        <f t="shared" si="32"/>
        <v>1632.8269238649532</v>
      </c>
      <c r="P50" s="14">
        <v>490.7</v>
      </c>
      <c r="Q50" s="14">
        <f t="shared" si="33"/>
        <v>1.2370796147834416E-2</v>
      </c>
      <c r="R50" s="15">
        <f t="shared" si="34"/>
        <v>9.0020179783525958</v>
      </c>
      <c r="S50" s="24">
        <v>55.1</v>
      </c>
      <c r="T50" s="24">
        <v>3.8</v>
      </c>
      <c r="U50" s="16">
        <v>62.6</v>
      </c>
      <c r="V50" s="17">
        <v>76.099999999999994</v>
      </c>
      <c r="W50" s="17">
        <v>59.6</v>
      </c>
      <c r="X50" s="17">
        <v>0.9</v>
      </c>
      <c r="Y50" s="13">
        <v>9417</v>
      </c>
      <c r="Z50" s="13">
        <v>0.23</v>
      </c>
      <c r="AA50" s="18">
        <v>32746148</v>
      </c>
      <c r="AB50" s="18">
        <f t="shared" si="35"/>
        <v>117886132.80000001</v>
      </c>
      <c r="AC50" s="18">
        <f t="shared" si="36"/>
        <v>825.54701759693444</v>
      </c>
      <c r="AD50" s="13">
        <f t="shared" si="37"/>
        <v>185068241.67031199</v>
      </c>
      <c r="AE50" s="13">
        <f t="shared" si="38"/>
        <v>41221733.434671</v>
      </c>
      <c r="AF50" s="13">
        <f t="shared" si="26"/>
        <v>226289975.10498297</v>
      </c>
      <c r="AG50" s="30" t="s">
        <v>114</v>
      </c>
      <c r="AH50" s="30" t="s">
        <v>114</v>
      </c>
      <c r="AI50" s="13">
        <f t="shared" si="39"/>
        <v>306963.07481495279</v>
      </c>
      <c r="AJ50" s="36">
        <f t="shared" si="40"/>
        <v>7.7386949734017243</v>
      </c>
      <c r="AK50" s="13">
        <f t="shared" si="41"/>
        <v>463232.50756952568</v>
      </c>
      <c r="AL50" s="13">
        <f t="shared" si="42"/>
        <v>870249.09655397944</v>
      </c>
      <c r="AM50" s="13">
        <f t="shared" si="20"/>
        <v>666740.80206175253</v>
      </c>
      <c r="AN50" s="36">
        <f t="shared" si="43"/>
        <v>11.138474975663724</v>
      </c>
      <c r="AO50" s="13">
        <f t="shared" si="44"/>
        <v>183.5028601008749</v>
      </c>
      <c r="AP50" s="13">
        <f t="shared" si="45"/>
        <v>283.69969945929091</v>
      </c>
      <c r="AQ50" s="13">
        <f t="shared" si="21"/>
        <v>408.33525728713238</v>
      </c>
      <c r="AR50" s="41" t="s">
        <v>130</v>
      </c>
      <c r="AS50" s="20">
        <f t="shared" si="28"/>
        <v>131942.13755448</v>
      </c>
      <c r="AT50" s="20">
        <f t="shared" si="29"/>
        <v>98082.482625000004</v>
      </c>
      <c r="AU50" s="20">
        <f t="shared" si="22"/>
        <v>6.7745457187377625</v>
      </c>
      <c r="AV50" s="20">
        <v>20</v>
      </c>
      <c r="AW50" s="20">
        <f t="shared" si="23"/>
        <v>0.50421015479251752</v>
      </c>
      <c r="AX50" s="14" t="s">
        <v>17</v>
      </c>
      <c r="AY50" s="21">
        <v>1.3</v>
      </c>
      <c r="AZ50" s="1">
        <v>177</v>
      </c>
      <c r="BA50" s="125">
        <f t="shared" si="24"/>
        <v>4.4622598699137804E-3</v>
      </c>
      <c r="BB50" s="1">
        <v>26</v>
      </c>
      <c r="BC50" s="127">
        <f t="shared" si="25"/>
        <v>6.5547320123027274E-4</v>
      </c>
    </row>
    <row r="51" spans="1:55">
      <c r="A51" s="10">
        <v>15060</v>
      </c>
      <c r="B51" s="10" t="s">
        <v>56</v>
      </c>
      <c r="C51" s="10">
        <v>232.16</v>
      </c>
      <c r="D51" s="11">
        <v>410118</v>
      </c>
      <c r="E51" s="11">
        <v>315249</v>
      </c>
      <c r="F51" s="11">
        <v>74283</v>
      </c>
      <c r="G51" s="11">
        <v>20586</v>
      </c>
      <c r="H51" s="11">
        <v>517002.89059331274</v>
      </c>
      <c r="I51" s="11">
        <f t="shared" si="30"/>
        <v>543409.07737476355</v>
      </c>
      <c r="J51" s="13">
        <v>74.599999999999994</v>
      </c>
      <c r="K51" s="13">
        <v>86.5</v>
      </c>
      <c r="L51" s="13">
        <f t="shared" si="19"/>
        <v>109.04361680375295</v>
      </c>
      <c r="M51" s="13">
        <f t="shared" si="31"/>
        <v>114.61307524399575</v>
      </c>
      <c r="N51" s="13">
        <v>2377</v>
      </c>
      <c r="O51" s="13">
        <f t="shared" si="32"/>
        <v>3149.5408075719984</v>
      </c>
      <c r="P51" s="14">
        <v>7593.3</v>
      </c>
      <c r="Q51" s="14">
        <f t="shared" si="33"/>
        <v>1.8514915219522188E-2</v>
      </c>
      <c r="R51" s="15">
        <f t="shared" si="34"/>
        <v>32.707184700206753</v>
      </c>
      <c r="S51" s="24">
        <v>43.2</v>
      </c>
      <c r="T51" s="24">
        <v>4.3</v>
      </c>
      <c r="U51" s="16">
        <v>61.2</v>
      </c>
      <c r="V51" s="17">
        <v>78.599999999999994</v>
      </c>
      <c r="W51" s="17">
        <v>37.799999999999997</v>
      </c>
      <c r="X51" s="17">
        <v>2</v>
      </c>
      <c r="Y51" s="13">
        <v>105897</v>
      </c>
      <c r="Z51" s="13">
        <v>0.25</v>
      </c>
      <c r="AA51" s="18">
        <v>175631734</v>
      </c>
      <c r="AB51" s="18">
        <f t="shared" si="35"/>
        <v>632274242.39999998</v>
      </c>
      <c r="AC51" s="18">
        <f t="shared" si="36"/>
        <v>428.24683139974348</v>
      </c>
      <c r="AD51" s="13">
        <f t="shared" si="37"/>
        <v>2081148092.615592</v>
      </c>
      <c r="AE51" s="13">
        <f t="shared" si="38"/>
        <v>463550802.32891095</v>
      </c>
      <c r="AF51" s="13">
        <f t="shared" si="26"/>
        <v>2544698894.9445028</v>
      </c>
      <c r="AG51" s="30">
        <v>313.87</v>
      </c>
      <c r="AH51" s="30">
        <v>156.93</v>
      </c>
      <c r="AI51" s="13">
        <f t="shared" si="39"/>
        <v>4182138.1941973041</v>
      </c>
      <c r="AJ51" s="36">
        <f t="shared" si="40"/>
        <v>10.197402196922114</v>
      </c>
      <c r="AK51" s="13">
        <f t="shared" si="41"/>
        <v>5541360.919448833</v>
      </c>
      <c r="AL51" s="13">
        <f t="shared" si="42"/>
        <v>10410245.945673611</v>
      </c>
      <c r="AM51" s="13">
        <f t="shared" si="20"/>
        <v>7975803.4325612225</v>
      </c>
      <c r="AN51" s="36">
        <f t="shared" si="43"/>
        <v>14.677346707369571</v>
      </c>
      <c r="AO51" s="13">
        <f t="shared" si="44"/>
        <v>148.92161526651068</v>
      </c>
      <c r="AP51" s="13">
        <f t="shared" si="45"/>
        <v>1759.4186765659672</v>
      </c>
      <c r="AQ51" s="13">
        <f t="shared" si="21"/>
        <v>2532.3702469217478</v>
      </c>
      <c r="AR51" s="41" t="s">
        <v>130</v>
      </c>
      <c r="AS51" s="20">
        <f t="shared" si="28"/>
        <v>1364187.10153704</v>
      </c>
      <c r="AT51" s="20">
        <f t="shared" si="29"/>
        <v>1334547.7942245</v>
      </c>
      <c r="AU51" s="20">
        <f t="shared" si="22"/>
        <v>8.9152276336139007</v>
      </c>
      <c r="AV51" s="20">
        <v>160</v>
      </c>
      <c r="AW51" s="20">
        <f t="shared" si="23"/>
        <v>0.39013162065551865</v>
      </c>
      <c r="AX51" s="14" t="s">
        <v>4</v>
      </c>
      <c r="AY51" s="21">
        <v>1.98</v>
      </c>
      <c r="AZ51" s="1">
        <v>2250</v>
      </c>
      <c r="BA51" s="125">
        <f t="shared" si="24"/>
        <v>5.4862259154682307E-3</v>
      </c>
      <c r="BB51" s="1">
        <v>328</v>
      </c>
      <c r="BC51" s="127">
        <f t="shared" si="25"/>
        <v>7.9976982234381325E-4</v>
      </c>
    </row>
    <row r="52" spans="1:55">
      <c r="A52" s="10">
        <v>15061</v>
      </c>
      <c r="B52" s="10" t="s">
        <v>57</v>
      </c>
      <c r="C52" s="10">
        <v>87.28</v>
      </c>
      <c r="D52" s="11">
        <v>8960</v>
      </c>
      <c r="E52" s="11">
        <v>0</v>
      </c>
      <c r="F52" s="11">
        <v>7495</v>
      </c>
      <c r="G52" s="11">
        <v>1465</v>
      </c>
      <c r="H52" s="11">
        <v>11626.148240476505</v>
      </c>
      <c r="I52" s="11">
        <f t="shared" si="30"/>
        <v>12219.959701829346</v>
      </c>
      <c r="J52" s="13">
        <v>13.6</v>
      </c>
      <c r="K52" s="13">
        <v>15.8</v>
      </c>
      <c r="L52" s="13">
        <f t="shared" si="19"/>
        <v>20.501466763340268</v>
      </c>
      <c r="M52" s="13">
        <f t="shared" si="31"/>
        <v>21.54858965277943</v>
      </c>
      <c r="N52" s="13">
        <v>458</v>
      </c>
      <c r="O52" s="13">
        <f t="shared" si="32"/>
        <v>624.63633297297326</v>
      </c>
      <c r="P52" s="14">
        <v>208.4</v>
      </c>
      <c r="Q52" s="14">
        <f t="shared" si="33"/>
        <v>2.3258928571428573E-2</v>
      </c>
      <c r="R52" s="15">
        <f t="shared" si="34"/>
        <v>2.3877176901924839</v>
      </c>
      <c r="S52" s="24">
        <v>56</v>
      </c>
      <c r="T52" s="24">
        <v>2.4</v>
      </c>
      <c r="U52" s="16">
        <v>65.599999999999994</v>
      </c>
      <c r="V52" s="17">
        <v>92.1</v>
      </c>
      <c r="W52" s="17">
        <v>84.1</v>
      </c>
      <c r="X52" s="17">
        <v>2.2999999999999998</v>
      </c>
      <c r="Y52" s="13">
        <v>3530</v>
      </c>
      <c r="Z52" s="13">
        <v>0.39</v>
      </c>
      <c r="AA52" s="18">
        <v>7353988</v>
      </c>
      <c r="AB52" s="18">
        <f t="shared" si="35"/>
        <v>26474356.800000001</v>
      </c>
      <c r="AC52" s="18">
        <f t="shared" si="36"/>
        <v>820.75758928571429</v>
      </c>
      <c r="AD52" s="13">
        <f t="shared" si="37"/>
        <v>69373568.344080001</v>
      </c>
      <c r="AE52" s="13">
        <f t="shared" si="38"/>
        <v>15452131.148389999</v>
      </c>
      <c r="AF52" s="13">
        <f t="shared" si="26"/>
        <v>84825699.492469996</v>
      </c>
      <c r="AG52" s="30" t="s">
        <v>130</v>
      </c>
      <c r="AH52" s="30" t="s">
        <v>130</v>
      </c>
      <c r="AI52" s="13">
        <f t="shared" si="39"/>
        <v>69607.070256926294</v>
      </c>
      <c r="AJ52" s="36">
        <f t="shared" si="40"/>
        <v>7.7686462340319524</v>
      </c>
      <c r="AK52" s="13">
        <f t="shared" si="41"/>
        <v>94932.543917638774</v>
      </c>
      <c r="AL52" s="13">
        <f t="shared" si="42"/>
        <v>178344.47977616638</v>
      </c>
      <c r="AM52" s="13">
        <f t="shared" si="20"/>
        <v>136638.51184690258</v>
      </c>
      <c r="AN52" s="36">
        <f t="shared" si="43"/>
        <v>11.181584488077124</v>
      </c>
      <c r="AO52" s="13">
        <f t="shared" si="44"/>
        <v>156.21604115484246</v>
      </c>
      <c r="AP52" s="13">
        <f t="shared" si="45"/>
        <v>151.98050274438054</v>
      </c>
      <c r="AQ52" s="13">
        <f t="shared" si="21"/>
        <v>218.74890177548261</v>
      </c>
      <c r="AR52" s="41" t="s">
        <v>130</v>
      </c>
      <c r="AS52" s="20">
        <f t="shared" ref="AS52:AS78" si="46">3.32632828*D52</f>
        <v>29803.901388799997</v>
      </c>
      <c r="AT52" s="20">
        <f t="shared" ref="AT52:AT78" si="47">((E52*3.5004142)+(F52*2.6253107)+(G52*1.7502071))</f>
        <v>22240.757098000002</v>
      </c>
      <c r="AU52" s="20">
        <f t="shared" si="22"/>
        <v>6.8006228895547958</v>
      </c>
      <c r="AV52" s="20">
        <v>7.77</v>
      </c>
      <c r="AW52" s="20">
        <f t="shared" si="23"/>
        <v>0.8671875</v>
      </c>
      <c r="AX52" s="14" t="s">
        <v>4</v>
      </c>
      <c r="AY52" s="21">
        <v>1.73</v>
      </c>
      <c r="AZ52" s="1">
        <v>99</v>
      </c>
      <c r="BA52" s="125">
        <f t="shared" si="24"/>
        <v>1.1049107142857144E-2</v>
      </c>
      <c r="BB52" s="1">
        <v>3</v>
      </c>
      <c r="BC52" s="127">
        <f t="shared" si="25"/>
        <v>3.3482142857142857E-4</v>
      </c>
    </row>
    <row r="53" spans="1:55">
      <c r="A53" s="10">
        <v>15065</v>
      </c>
      <c r="B53" s="10" t="s">
        <v>58</v>
      </c>
      <c r="C53" s="10">
        <v>143.77000000000001</v>
      </c>
      <c r="D53" s="11">
        <v>35274</v>
      </c>
      <c r="E53" s="11">
        <v>0</v>
      </c>
      <c r="F53" s="11">
        <v>21647</v>
      </c>
      <c r="G53" s="11">
        <v>13627</v>
      </c>
      <c r="H53" s="11">
        <v>46723.328095857643</v>
      </c>
      <c r="I53" s="11">
        <f t="shared" si="30"/>
        <v>49109.745949990589</v>
      </c>
      <c r="J53" s="13">
        <v>20.399999999999999</v>
      </c>
      <c r="K53" s="13">
        <v>22</v>
      </c>
      <c r="L53" s="13">
        <f t="shared" si="19"/>
        <v>29.140818112742195</v>
      </c>
      <c r="M53" s="13">
        <f t="shared" si="31"/>
        <v>30.629200286324007</v>
      </c>
      <c r="N53" s="13">
        <v>1311</v>
      </c>
      <c r="O53" s="13">
        <f t="shared" si="32"/>
        <v>1825.2218897895805</v>
      </c>
      <c r="P53" s="14">
        <v>797.9</v>
      </c>
      <c r="Q53" s="14">
        <f t="shared" si="33"/>
        <v>2.2620060100924193E-2</v>
      </c>
      <c r="R53" s="15">
        <f t="shared" si="34"/>
        <v>5.5498365444807671</v>
      </c>
      <c r="S53" s="24">
        <v>63.3</v>
      </c>
      <c r="T53" s="24">
        <v>3.2</v>
      </c>
      <c r="U53" s="16">
        <v>68.400000000000006</v>
      </c>
      <c r="V53" s="17">
        <v>87.8</v>
      </c>
      <c r="W53" s="17">
        <v>85.3</v>
      </c>
      <c r="X53" s="17">
        <v>2.2999999999999998</v>
      </c>
      <c r="Y53" s="13">
        <v>21822</v>
      </c>
      <c r="Z53" s="13">
        <v>0.61</v>
      </c>
      <c r="AA53" s="18">
        <v>21704903</v>
      </c>
      <c r="AB53" s="18">
        <f t="shared" si="35"/>
        <v>78137650.800000012</v>
      </c>
      <c r="AC53" s="18">
        <f t="shared" si="36"/>
        <v>615.32298576855476</v>
      </c>
      <c r="AD53" s="13">
        <f t="shared" si="37"/>
        <v>428858359.321392</v>
      </c>
      <c r="AE53" s="13">
        <f t="shared" si="38"/>
        <v>95523061.167185992</v>
      </c>
      <c r="AF53" s="13">
        <f t="shared" si="26"/>
        <v>524381420.48857796</v>
      </c>
      <c r="AG53" s="30" t="s">
        <v>130</v>
      </c>
      <c r="AH53" s="30" t="s">
        <v>130</v>
      </c>
      <c r="AI53" s="13">
        <f t="shared" si="39"/>
        <v>252388.17221844109</v>
      </c>
      <c r="AJ53" s="36">
        <f t="shared" si="40"/>
        <v>7.1550766065215479</v>
      </c>
      <c r="AK53" s="13">
        <f t="shared" si="41"/>
        <v>351383.99439899396</v>
      </c>
      <c r="AL53" s="13">
        <f t="shared" si="42"/>
        <v>660125.52804998774</v>
      </c>
      <c r="AM53" s="13">
        <f t="shared" si="20"/>
        <v>505754.76122449082</v>
      </c>
      <c r="AN53" s="36">
        <f t="shared" si="43"/>
        <v>10.298460141486188</v>
      </c>
      <c r="AO53" s="13">
        <f t="shared" si="44"/>
        <v>161.55168930763182</v>
      </c>
      <c r="AP53" s="13">
        <f t="shared" si="45"/>
        <v>192.51576828256376</v>
      </c>
      <c r="AQ53" s="13">
        <f t="shared" si="21"/>
        <v>277.09220673591443</v>
      </c>
      <c r="AR53" s="41" t="s">
        <v>130</v>
      </c>
      <c r="AS53" s="20">
        <f t="shared" si="46"/>
        <v>117332.90374872</v>
      </c>
      <c r="AT53" s="20">
        <f t="shared" si="47"/>
        <v>80680.172874600001</v>
      </c>
      <c r="AU53" s="20">
        <f t="shared" si="22"/>
        <v>6.2664163270242117</v>
      </c>
      <c r="AV53" s="20">
        <v>30</v>
      </c>
      <c r="AW53" s="20">
        <f t="shared" si="23"/>
        <v>0.85048477632250385</v>
      </c>
      <c r="AX53" s="14" t="s">
        <v>13</v>
      </c>
      <c r="AY53" s="21">
        <v>1.53</v>
      </c>
      <c r="AZ53" s="1">
        <v>249</v>
      </c>
      <c r="BA53" s="125">
        <f t="shared" si="24"/>
        <v>7.0590236434767816E-3</v>
      </c>
      <c r="BB53" s="1">
        <v>33</v>
      </c>
      <c r="BC53" s="127">
        <f t="shared" si="25"/>
        <v>9.3553325395475426E-4</v>
      </c>
    </row>
    <row r="54" spans="1:55">
      <c r="A54" s="10">
        <v>15068</v>
      </c>
      <c r="B54" s="10" t="s">
        <v>59</v>
      </c>
      <c r="C54" s="10">
        <v>48.02</v>
      </c>
      <c r="D54" s="11">
        <v>29114</v>
      </c>
      <c r="E54" s="11">
        <v>17871</v>
      </c>
      <c r="F54" s="11">
        <v>5899</v>
      </c>
      <c r="G54" s="11">
        <v>5344</v>
      </c>
      <c r="H54" s="11">
        <v>37132.436986761968</v>
      </c>
      <c r="I54" s="11">
        <f t="shared" si="30"/>
        <v>39028.995177370212</v>
      </c>
      <c r="J54" s="13">
        <v>46.5</v>
      </c>
      <c r="K54" s="13">
        <v>46.1</v>
      </c>
      <c r="L54" s="13">
        <f t="shared" si="19"/>
        <v>58.796638905328251</v>
      </c>
      <c r="M54" s="13">
        <f t="shared" si="31"/>
        <v>61.799707277487357</v>
      </c>
      <c r="N54" s="13">
        <v>1185</v>
      </c>
      <c r="O54" s="13">
        <f t="shared" si="32"/>
        <v>1588.5608052889918</v>
      </c>
      <c r="P54" s="14">
        <v>776.3</v>
      </c>
      <c r="Q54" s="14">
        <f t="shared" si="33"/>
        <v>2.6664147832657827E-2</v>
      </c>
      <c r="R54" s="15">
        <f t="shared" si="34"/>
        <v>16.166180758017489</v>
      </c>
      <c r="S54" s="24">
        <v>70</v>
      </c>
      <c r="T54" s="24">
        <v>4.5</v>
      </c>
      <c r="U54" s="16">
        <v>63.1</v>
      </c>
      <c r="V54" s="17">
        <v>76.7</v>
      </c>
      <c r="W54" s="17">
        <v>79</v>
      </c>
      <c r="X54" s="17">
        <v>3.6</v>
      </c>
      <c r="Y54" s="13">
        <v>7063</v>
      </c>
      <c r="Z54" s="13">
        <v>0.24</v>
      </c>
      <c r="AA54" s="18">
        <v>6518612</v>
      </c>
      <c r="AB54" s="18">
        <f t="shared" si="35"/>
        <v>23467003.199999999</v>
      </c>
      <c r="AC54" s="18">
        <f t="shared" si="36"/>
        <v>223.8995672185203</v>
      </c>
      <c r="AD54" s="13">
        <f t="shared" si="37"/>
        <v>138806094.394968</v>
      </c>
      <c r="AE54" s="13">
        <f t="shared" si="38"/>
        <v>30917394.419568997</v>
      </c>
      <c r="AF54" s="13">
        <f t="shared" si="26"/>
        <v>169723488.81453699</v>
      </c>
      <c r="AG54" s="30" t="s">
        <v>130</v>
      </c>
      <c r="AH54" s="30" t="s">
        <v>130</v>
      </c>
      <c r="AI54" s="13">
        <f t="shared" si="39"/>
        <v>273780.82497982506</v>
      </c>
      <c r="AJ54" s="36">
        <f t="shared" si="40"/>
        <v>9.4037516308245195</v>
      </c>
      <c r="AK54" s="13">
        <f t="shared" si="41"/>
        <v>367018.97704863746</v>
      </c>
      <c r="AL54" s="13">
        <f t="shared" si="42"/>
        <v>689498.0986342039</v>
      </c>
      <c r="AM54" s="13">
        <f t="shared" si="20"/>
        <v>528258.53784142062</v>
      </c>
      <c r="AN54" s="36">
        <f t="shared" si="43"/>
        <v>13.535027879675351</v>
      </c>
      <c r="AO54" s="13">
        <f t="shared" si="44"/>
        <v>151.84309335214149</v>
      </c>
      <c r="AP54" s="13">
        <f t="shared" si="45"/>
        <v>231.03867086905069</v>
      </c>
      <c r="AQ54" s="13">
        <f t="shared" si="21"/>
        <v>332.53907315516295</v>
      </c>
      <c r="AR54" s="41" t="s">
        <v>130</v>
      </c>
      <c r="AS54" s="20">
        <f t="shared" si="46"/>
        <v>96842.721543919994</v>
      </c>
      <c r="AT54" s="20">
        <f t="shared" si="47"/>
        <v>87395.716729899985</v>
      </c>
      <c r="AU54" s="20">
        <f t="shared" si="22"/>
        <v>8.2242330084476603</v>
      </c>
      <c r="AV54" s="20">
        <v>24</v>
      </c>
      <c r="AW54" s="20">
        <f t="shared" si="23"/>
        <v>0.82434567561997663</v>
      </c>
      <c r="AX54" s="14" t="s">
        <v>4</v>
      </c>
      <c r="AY54" s="21">
        <v>1.46</v>
      </c>
      <c r="AZ54" s="1">
        <v>162</v>
      </c>
      <c r="BA54" s="125">
        <f t="shared" si="24"/>
        <v>5.5643333104348422E-3</v>
      </c>
      <c r="BB54" s="1">
        <v>11</v>
      </c>
      <c r="BC54" s="127">
        <f t="shared" si="25"/>
        <v>3.7782510132582261E-4</v>
      </c>
    </row>
    <row r="55" spans="1:55">
      <c r="A55" s="10">
        <v>15069</v>
      </c>
      <c r="B55" s="10" t="s">
        <v>60</v>
      </c>
      <c r="C55" s="10">
        <v>3.59</v>
      </c>
      <c r="D55" s="11">
        <v>3963</v>
      </c>
      <c r="E55" s="11">
        <v>0</v>
      </c>
      <c r="F55" s="11">
        <v>3895</v>
      </c>
      <c r="G55" s="11">
        <v>68</v>
      </c>
      <c r="H55" s="11">
        <v>5458.2900182414724</v>
      </c>
      <c r="I55" s="11">
        <f t="shared" si="30"/>
        <v>5737.0749696439798</v>
      </c>
      <c r="J55" s="13">
        <v>17.600000000000001</v>
      </c>
      <c r="K55" s="13">
        <v>19.399999999999999</v>
      </c>
      <c r="L55" s="13">
        <f t="shared" si="19"/>
        <v>26.719865342892895</v>
      </c>
      <c r="M55" s="13">
        <f t="shared" si="31"/>
        <v>28.084596116854197</v>
      </c>
      <c r="N55" s="13">
        <v>3703</v>
      </c>
      <c r="O55" s="13">
        <f t="shared" si="32"/>
        <v>5360.6834752943878</v>
      </c>
      <c r="P55" s="14">
        <v>108.9</v>
      </c>
      <c r="Q55" s="14">
        <f t="shared" si="33"/>
        <v>2.7479182437547316E-2</v>
      </c>
      <c r="R55" s="15">
        <f t="shared" si="34"/>
        <v>30.334261838440113</v>
      </c>
      <c r="S55" s="24">
        <v>45.9</v>
      </c>
      <c r="T55" s="24">
        <v>3.2</v>
      </c>
      <c r="U55" s="16">
        <v>49.5</v>
      </c>
      <c r="V55" s="17">
        <v>77.2</v>
      </c>
      <c r="W55" s="17">
        <v>68.7</v>
      </c>
      <c r="X55" s="17">
        <v>2</v>
      </c>
      <c r="Y55" s="13">
        <v>2213</v>
      </c>
      <c r="Z55" s="13">
        <v>0.55000000000000004</v>
      </c>
      <c r="AA55" s="18">
        <v>3687661</v>
      </c>
      <c r="AB55" s="18">
        <f t="shared" si="35"/>
        <v>13275579.6</v>
      </c>
      <c r="AC55" s="18">
        <f t="shared" si="36"/>
        <v>930.522583901085</v>
      </c>
      <c r="AD55" s="13">
        <f t="shared" si="37"/>
        <v>43491135.055367999</v>
      </c>
      <c r="AE55" s="13">
        <f t="shared" si="38"/>
        <v>9687129.2440189999</v>
      </c>
      <c r="AF55" s="13">
        <f t="shared" si="26"/>
        <v>53178264.299387001</v>
      </c>
      <c r="AG55" s="30" t="s">
        <v>130</v>
      </c>
      <c r="AH55" s="30" t="s">
        <v>130</v>
      </c>
      <c r="AI55" s="13">
        <f t="shared" si="39"/>
        <v>32384.220410040092</v>
      </c>
      <c r="AJ55" s="36">
        <f t="shared" si="40"/>
        <v>8.1716427983951778</v>
      </c>
      <c r="AK55" s="13">
        <f t="shared" si="41"/>
        <v>46881.327359544463</v>
      </c>
      <c r="AL55" s="13">
        <f t="shared" si="42"/>
        <v>88073.337067717686</v>
      </c>
      <c r="AM55" s="13">
        <f t="shared" si="20"/>
        <v>67477.332213631074</v>
      </c>
      <c r="AN55" s="36">
        <f t="shared" si="43"/>
        <v>11.761626363724936</v>
      </c>
      <c r="AO55" s="13">
        <f t="shared" si="44"/>
        <v>171.96374021840671</v>
      </c>
      <c r="AP55" s="13">
        <f t="shared" si="45"/>
        <v>8.7454011369268407</v>
      </c>
      <c r="AQ55" s="13">
        <f t="shared" si="21"/>
        <v>12.587449440843079</v>
      </c>
      <c r="AR55" s="41" t="s">
        <v>130</v>
      </c>
      <c r="AS55" s="20">
        <f t="shared" si="46"/>
        <v>13182.23897364</v>
      </c>
      <c r="AT55" s="20">
        <f t="shared" si="47"/>
        <v>10344.599259300001</v>
      </c>
      <c r="AU55" s="20">
        <f t="shared" si="22"/>
        <v>7.1514932711831021</v>
      </c>
      <c r="AV55" s="20">
        <v>3</v>
      </c>
      <c r="AW55" s="20">
        <f t="shared" si="23"/>
        <v>0.75700227100681305</v>
      </c>
      <c r="AX55" s="14" t="s">
        <v>13</v>
      </c>
      <c r="AY55" s="21">
        <v>1.25</v>
      </c>
      <c r="AZ55" s="1">
        <v>20</v>
      </c>
      <c r="BA55" s="125">
        <f t="shared" si="24"/>
        <v>5.0466818067120868E-3</v>
      </c>
      <c r="BB55" s="1">
        <v>2</v>
      </c>
      <c r="BC55" s="127">
        <f t="shared" si="25"/>
        <v>5.0466818067120868E-4</v>
      </c>
    </row>
    <row r="56" spans="1:55">
      <c r="A56" s="10">
        <v>15070</v>
      </c>
      <c r="B56" s="10" t="s">
        <v>61</v>
      </c>
      <c r="C56" s="10">
        <v>36.950000000000003</v>
      </c>
      <c r="D56" s="11">
        <v>293725</v>
      </c>
      <c r="E56" s="11">
        <v>197672</v>
      </c>
      <c r="F56" s="11">
        <v>91489</v>
      </c>
      <c r="G56" s="11">
        <v>4564</v>
      </c>
      <c r="H56" s="11">
        <v>341992.17397859268</v>
      </c>
      <c r="I56" s="11">
        <f t="shared" si="30"/>
        <v>359459.5989933919</v>
      </c>
      <c r="J56" s="13">
        <v>141.19999999999999</v>
      </c>
      <c r="K56" s="13">
        <v>134.69999999999999</v>
      </c>
      <c r="L56" s="13">
        <f t="shared" si="19"/>
        <v>156.83495049763016</v>
      </c>
      <c r="M56" s="13">
        <f t="shared" si="31"/>
        <v>164.84537572358454</v>
      </c>
      <c r="N56" s="13">
        <v>2998</v>
      </c>
      <c r="O56" s="13">
        <f t="shared" si="32"/>
        <v>3668.9416215241768</v>
      </c>
      <c r="P56" s="14">
        <v>41533.199999999997</v>
      </c>
      <c r="Q56" s="14">
        <f t="shared" si="33"/>
        <v>0.1414016512043578</v>
      </c>
      <c r="R56" s="15">
        <f t="shared" si="34"/>
        <v>1124.0378890392421</v>
      </c>
      <c r="S56" s="24">
        <v>54.4</v>
      </c>
      <c r="T56" s="24">
        <v>4.0999999999999996</v>
      </c>
      <c r="U56" s="16">
        <v>60.9</v>
      </c>
      <c r="V56" s="17">
        <v>74.5</v>
      </c>
      <c r="W56" s="17">
        <v>54.9</v>
      </c>
      <c r="X56" s="17">
        <v>3.4</v>
      </c>
      <c r="Y56" s="13">
        <v>93263</v>
      </c>
      <c r="Z56" s="13">
        <v>0.31</v>
      </c>
      <c r="AA56" s="18">
        <v>236267169</v>
      </c>
      <c r="AB56" s="18">
        <f t="shared" si="35"/>
        <v>850561808.39999998</v>
      </c>
      <c r="AC56" s="18">
        <f t="shared" si="36"/>
        <v>804.38222487020175</v>
      </c>
      <c r="AD56" s="13">
        <f t="shared" si="37"/>
        <v>1832857536.6781681</v>
      </c>
      <c r="AE56" s="13">
        <f t="shared" si="38"/>
        <v>408247055.89016896</v>
      </c>
      <c r="AF56" s="13">
        <f t="shared" si="26"/>
        <v>2241104592.568337</v>
      </c>
      <c r="AG56" s="30">
        <v>116.56</v>
      </c>
      <c r="AH56" s="30">
        <v>58.28</v>
      </c>
      <c r="AI56" s="13">
        <f t="shared" si="39"/>
        <v>2945861.5749383429</v>
      </c>
      <c r="AJ56" s="36">
        <f t="shared" si="40"/>
        <v>10.029318494981165</v>
      </c>
      <c r="AK56" s="13">
        <f t="shared" si="41"/>
        <v>3605134.8043829384</v>
      </c>
      <c r="AL56" s="13">
        <f t="shared" si="42"/>
        <v>6772765.8469622368</v>
      </c>
      <c r="AM56" s="13">
        <f t="shared" si="20"/>
        <v>5188950.3256725874</v>
      </c>
      <c r="AN56" s="36">
        <f t="shared" si="43"/>
        <v>14.435420114536928</v>
      </c>
      <c r="AO56" s="13">
        <f t="shared" si="44"/>
        <v>129.90781048848135</v>
      </c>
      <c r="AP56" s="13">
        <f t="shared" si="45"/>
        <v>982.60893093340326</v>
      </c>
      <c r="AQ56" s="13">
        <f t="shared" si="21"/>
        <v>1414.290784904056</v>
      </c>
      <c r="AR56" s="41" t="s">
        <v>130</v>
      </c>
      <c r="AS56" s="20">
        <f t="shared" si="46"/>
        <v>977025.77404299995</v>
      </c>
      <c r="AT56" s="20">
        <f t="shared" si="47"/>
        <v>940108.87157909991</v>
      </c>
      <c r="AU56" s="20">
        <f t="shared" si="22"/>
        <v>8.7688849912412241</v>
      </c>
      <c r="AV56" s="20">
        <v>138</v>
      </c>
      <c r="AW56" s="20">
        <f t="shared" si="23"/>
        <v>0.46982721933781596</v>
      </c>
      <c r="AX56" s="14" t="s">
        <v>4</v>
      </c>
      <c r="AY56" s="21">
        <v>1.68</v>
      </c>
      <c r="AZ56" s="1">
        <v>1422</v>
      </c>
      <c r="BA56" s="125">
        <f t="shared" si="24"/>
        <v>4.8412630862201041E-3</v>
      </c>
      <c r="BB56" s="1">
        <v>276</v>
      </c>
      <c r="BC56" s="127">
        <f t="shared" si="25"/>
        <v>9.3965443867563201E-4</v>
      </c>
    </row>
    <row r="57" spans="1:55">
      <c r="A57" s="10">
        <v>15075</v>
      </c>
      <c r="B57" s="10" t="s">
        <v>62</v>
      </c>
      <c r="C57" s="10">
        <v>70.3</v>
      </c>
      <c r="D57" s="11">
        <v>26960</v>
      </c>
      <c r="E57" s="11">
        <v>0</v>
      </c>
      <c r="F57" s="11">
        <v>13899</v>
      </c>
      <c r="G57" s="11">
        <v>13061</v>
      </c>
      <c r="H57" s="11">
        <v>34247.468144316197</v>
      </c>
      <c r="I57" s="11">
        <f t="shared" si="30"/>
        <v>35996.675077323423</v>
      </c>
      <c r="J57" s="13">
        <v>43.8</v>
      </c>
      <c r="K57" s="13">
        <v>43</v>
      </c>
      <c r="L57" s="13">
        <f t="shared" si="19"/>
        <v>54.623187322166039</v>
      </c>
      <c r="M57" s="13">
        <f t="shared" si="31"/>
        <v>57.413094522437213</v>
      </c>
      <c r="N57" s="13">
        <v>1827</v>
      </c>
      <c r="O57" s="13">
        <f t="shared" si="32"/>
        <v>2439.3889230812274</v>
      </c>
      <c r="P57" s="14">
        <v>819.5</v>
      </c>
      <c r="Q57" s="14">
        <f t="shared" si="33"/>
        <v>3.0396884272997034E-2</v>
      </c>
      <c r="R57" s="15">
        <f t="shared" si="34"/>
        <v>11.657183499288763</v>
      </c>
      <c r="S57" s="24">
        <v>49.5</v>
      </c>
      <c r="T57" s="24">
        <v>3.6</v>
      </c>
      <c r="U57" s="16">
        <v>59</v>
      </c>
      <c r="V57" s="17">
        <v>84.8</v>
      </c>
      <c r="W57" s="17">
        <v>76.8</v>
      </c>
      <c r="X57" s="17">
        <v>2.2999999999999998</v>
      </c>
      <c r="Y57" s="13">
        <v>9450</v>
      </c>
      <c r="Z57" s="13">
        <v>0.35</v>
      </c>
      <c r="AA57" s="18">
        <v>11103993</v>
      </c>
      <c r="AB57" s="18">
        <f t="shared" si="35"/>
        <v>39974374.799999997</v>
      </c>
      <c r="AC57" s="18">
        <f t="shared" si="36"/>
        <v>411.86917655786351</v>
      </c>
      <c r="AD57" s="13">
        <f t="shared" si="37"/>
        <v>185716776.4452</v>
      </c>
      <c r="AE57" s="13">
        <f t="shared" si="38"/>
        <v>41366186.785349995</v>
      </c>
      <c r="AF57" s="13">
        <f t="shared" si="26"/>
        <v>227082963.23054999</v>
      </c>
      <c r="AG57" s="30" t="s">
        <v>130</v>
      </c>
      <c r="AH57" s="30" t="s">
        <v>130</v>
      </c>
      <c r="AI57" s="13">
        <f t="shared" si="39"/>
        <v>185614.90439754608</v>
      </c>
      <c r="AJ57" s="36">
        <f t="shared" si="40"/>
        <v>6.8848258307695138</v>
      </c>
      <c r="AK57" s="13">
        <f t="shared" si="41"/>
        <v>247830.83839417348</v>
      </c>
      <c r="AL57" s="13">
        <f t="shared" si="42"/>
        <v>465585.98476246739</v>
      </c>
      <c r="AM57" s="13">
        <f t="shared" si="20"/>
        <v>356708.41157832043</v>
      </c>
      <c r="AN57" s="36">
        <f t="shared" si="43"/>
        <v>9.9094822177905417</v>
      </c>
      <c r="AO57" s="13">
        <f t="shared" si="44"/>
        <v>150.83437468215652</v>
      </c>
      <c r="AP57" s="13">
        <f t="shared" si="45"/>
        <v>101.59545944036458</v>
      </c>
      <c r="AQ57" s="13">
        <f t="shared" si="21"/>
        <v>146.22859364621402</v>
      </c>
      <c r="AR57" s="41" t="s">
        <v>130</v>
      </c>
      <c r="AS57" s="20">
        <f t="shared" si="46"/>
        <v>89677.810428799989</v>
      </c>
      <c r="AT57" s="20">
        <f t="shared" si="47"/>
        <v>59348.648352399992</v>
      </c>
      <c r="AU57" s="20">
        <f t="shared" si="22"/>
        <v>6.0311215349376042</v>
      </c>
      <c r="AV57" s="20">
        <v>12</v>
      </c>
      <c r="AW57" s="20">
        <f t="shared" si="23"/>
        <v>0.44510385756676557</v>
      </c>
      <c r="AX57" s="14" t="s">
        <v>4</v>
      </c>
      <c r="AY57" s="21">
        <v>1.3</v>
      </c>
      <c r="AZ57" s="1">
        <v>181</v>
      </c>
      <c r="BA57" s="125">
        <f t="shared" si="24"/>
        <v>6.7136498516320474E-3</v>
      </c>
      <c r="BB57" s="1">
        <v>15</v>
      </c>
      <c r="BC57" s="127">
        <f t="shared" si="25"/>
        <v>5.5637982195845699E-4</v>
      </c>
    </row>
    <row r="58" spans="1:55">
      <c r="A58" s="10">
        <v>15081</v>
      </c>
      <c r="B58" s="10" t="s">
        <v>63</v>
      </c>
      <c r="C58" s="10">
        <v>155.47</v>
      </c>
      <c r="D58" s="11">
        <v>446008</v>
      </c>
      <c r="E58" s="11">
        <v>426008</v>
      </c>
      <c r="F58" s="11">
        <v>10526</v>
      </c>
      <c r="G58" s="11">
        <v>9354</v>
      </c>
      <c r="H58" s="11">
        <v>553581.89611544262</v>
      </c>
      <c r="I58" s="11">
        <f t="shared" si="30"/>
        <v>581856.37429268926</v>
      </c>
      <c r="J58" s="13">
        <v>67.900000000000006</v>
      </c>
      <c r="K58" s="13">
        <v>98.2</v>
      </c>
      <c r="L58" s="13">
        <f t="shared" si="19"/>
        <v>121.88512806617025</v>
      </c>
      <c r="M58" s="13">
        <f t="shared" si="31"/>
        <v>128.11047325505839</v>
      </c>
      <c r="N58" s="13">
        <v>1791</v>
      </c>
      <c r="O58" s="13">
        <f t="shared" si="32"/>
        <v>2336.5158615051892</v>
      </c>
      <c r="P58" s="14">
        <v>12226.9</v>
      </c>
      <c r="Q58" s="14">
        <f t="shared" si="33"/>
        <v>2.7414082258614195E-2</v>
      </c>
      <c r="R58" s="15">
        <f t="shared" si="34"/>
        <v>78.644754615038266</v>
      </c>
      <c r="S58" s="24">
        <v>36.799999999999997</v>
      </c>
      <c r="T58" s="24">
        <v>4.5999999999999996</v>
      </c>
      <c r="U58" s="16">
        <v>46.6</v>
      </c>
      <c r="V58" s="17">
        <v>75.7</v>
      </c>
      <c r="W58" s="17">
        <v>24.4</v>
      </c>
      <c r="X58" s="17">
        <v>3.7</v>
      </c>
      <c r="Y58" s="13">
        <v>206770</v>
      </c>
      <c r="Z58" s="13">
        <v>0.46</v>
      </c>
      <c r="AA58" s="18">
        <v>345667105</v>
      </c>
      <c r="AB58" s="18">
        <f t="shared" si="35"/>
        <v>1244401577.9999998</v>
      </c>
      <c r="AC58" s="18">
        <f t="shared" si="36"/>
        <v>775.02445023407654</v>
      </c>
      <c r="AD58" s="13">
        <f t="shared" si="37"/>
        <v>4063561678.8967199</v>
      </c>
      <c r="AE58" s="13">
        <f t="shared" si="38"/>
        <v>905109676.36050999</v>
      </c>
      <c r="AF58" s="13">
        <f t="shared" si="26"/>
        <v>4968671355.2572298</v>
      </c>
      <c r="AG58" s="30">
        <v>150</v>
      </c>
      <c r="AH58" s="30">
        <v>146.72</v>
      </c>
      <c r="AI58" s="13">
        <f t="shared" si="39"/>
        <v>4812058.1932530925</v>
      </c>
      <c r="AJ58" s="36">
        <f t="shared" si="40"/>
        <v>10.789174618511534</v>
      </c>
      <c r="AK58" s="13">
        <f t="shared" si="41"/>
        <v>6277750.0251378305</v>
      </c>
      <c r="AL58" s="13">
        <f t="shared" si="42"/>
        <v>11793659.120410405</v>
      </c>
      <c r="AM58" s="13">
        <f t="shared" si="20"/>
        <v>9035704.5727741178</v>
      </c>
      <c r="AN58" s="36">
        <f t="shared" si="43"/>
        <v>15.529097852984794</v>
      </c>
      <c r="AO58" s="13">
        <f t="shared" si="44"/>
        <v>145.08554649123113</v>
      </c>
      <c r="AP58" s="13">
        <f t="shared" si="45"/>
        <v>2686.7996612245074</v>
      </c>
      <c r="AQ58" s="13">
        <f t="shared" si="21"/>
        <v>3867.1702262501635</v>
      </c>
      <c r="AR58" s="41" t="s">
        <v>130</v>
      </c>
      <c r="AS58" s="20">
        <f t="shared" si="46"/>
        <v>1483569.02350624</v>
      </c>
      <c r="AT58" s="20">
        <f t="shared" si="47"/>
        <v>1535209.9101551999</v>
      </c>
      <c r="AU58" s="20">
        <f t="shared" si="22"/>
        <v>9.430446423316198</v>
      </c>
      <c r="AV58" s="20">
        <v>404.63</v>
      </c>
      <c r="AW58" s="20">
        <f t="shared" si="23"/>
        <v>0.90722587935642407</v>
      </c>
      <c r="AX58" s="14" t="s">
        <v>4</v>
      </c>
      <c r="AY58" s="21">
        <v>1.58</v>
      </c>
      <c r="AZ58" s="1">
        <v>2943</v>
      </c>
      <c r="BA58" s="125">
        <f t="shared" si="24"/>
        <v>6.5985363491237823E-3</v>
      </c>
      <c r="BB58" s="1">
        <v>445</v>
      </c>
      <c r="BC58" s="127">
        <f t="shared" si="25"/>
        <v>9.9773995085289955E-4</v>
      </c>
    </row>
    <row r="59" spans="1:55">
      <c r="A59" s="10">
        <v>15083</v>
      </c>
      <c r="B59" s="10" t="s">
        <v>64</v>
      </c>
      <c r="C59" s="10">
        <v>28.42</v>
      </c>
      <c r="D59" s="11">
        <v>12984</v>
      </c>
      <c r="E59" s="11">
        <v>0</v>
      </c>
      <c r="F59" s="11">
        <v>6527</v>
      </c>
      <c r="G59" s="11">
        <v>6457</v>
      </c>
      <c r="H59" s="11">
        <v>15359.493896917122</v>
      </c>
      <c r="I59" s="11">
        <f t="shared" si="30"/>
        <v>16143.987895093991</v>
      </c>
      <c r="J59" s="13">
        <v>38.4</v>
      </c>
      <c r="K59" s="13">
        <v>37.200000000000003</v>
      </c>
      <c r="L59" s="13">
        <f t="shared" si="19"/>
        <v>44.005943697267178</v>
      </c>
      <c r="M59" s="13">
        <f t="shared" si="31"/>
        <v>46.253569754890371</v>
      </c>
      <c r="N59" s="13">
        <v>2070</v>
      </c>
      <c r="O59" s="13">
        <f t="shared" si="32"/>
        <v>2573.7873492640601</v>
      </c>
      <c r="P59" s="14">
        <v>356.9</v>
      </c>
      <c r="Q59" s="14">
        <f t="shared" si="33"/>
        <v>2.7487677141096734E-2</v>
      </c>
      <c r="R59" s="15">
        <f t="shared" si="34"/>
        <v>12.558057705840955</v>
      </c>
      <c r="S59" s="24">
        <v>40.200000000000003</v>
      </c>
      <c r="T59" s="24">
        <v>3</v>
      </c>
      <c r="U59" s="16">
        <v>60</v>
      </c>
      <c r="V59" s="17">
        <v>84.6</v>
      </c>
      <c r="W59" s="17">
        <v>43.1</v>
      </c>
      <c r="X59" s="17">
        <v>6.6</v>
      </c>
      <c r="Y59" s="13">
        <v>3808</v>
      </c>
      <c r="Z59" s="13">
        <v>0.28999999999999998</v>
      </c>
      <c r="AA59" s="18">
        <v>8209662</v>
      </c>
      <c r="AB59" s="18">
        <f t="shared" si="35"/>
        <v>29554783.199999999</v>
      </c>
      <c r="AC59" s="18">
        <f t="shared" si="36"/>
        <v>632.2906654343808</v>
      </c>
      <c r="AD59" s="13">
        <f t="shared" si="37"/>
        <v>74836982.508287996</v>
      </c>
      <c r="AE59" s="13">
        <f t="shared" si="38"/>
        <v>16669041.193503998</v>
      </c>
      <c r="AF59" s="13">
        <f t="shared" si="26"/>
        <v>91506023.701792002</v>
      </c>
      <c r="AG59" s="30" t="s">
        <v>130</v>
      </c>
      <c r="AH59" s="30" t="s">
        <v>130</v>
      </c>
      <c r="AI59" s="13">
        <f t="shared" si="39"/>
        <v>88933.280241632034</v>
      </c>
      <c r="AJ59" s="36">
        <f t="shared" si="40"/>
        <v>6.8494516513887884</v>
      </c>
      <c r="AK59" s="13">
        <f t="shared" si="41"/>
        <v>110577.46454805214</v>
      </c>
      <c r="AL59" s="13">
        <f t="shared" si="42"/>
        <v>207735.72029102274</v>
      </c>
      <c r="AM59" s="13">
        <f t="shared" si="20"/>
        <v>159156.59241953742</v>
      </c>
      <c r="AN59" s="36">
        <f t="shared" si="43"/>
        <v>9.8585673783801369</v>
      </c>
      <c r="AO59" s="13">
        <f t="shared" si="44"/>
        <v>133.58603182813459</v>
      </c>
      <c r="AP59" s="13">
        <f t="shared" si="45"/>
        <v>42.962937314798083</v>
      </c>
      <c r="AQ59" s="13">
        <f t="shared" si="21"/>
        <v>61.837506686419182</v>
      </c>
      <c r="AR59" s="41" t="s">
        <v>130</v>
      </c>
      <c r="AS59" s="20">
        <f t="shared" si="46"/>
        <v>43189.04638752</v>
      </c>
      <c r="AT59" s="20">
        <f t="shared" si="47"/>
        <v>28436.490183599999</v>
      </c>
      <c r="AU59" s="20">
        <f t="shared" si="22"/>
        <v>6.0003228807636795</v>
      </c>
      <c r="AV59" s="20">
        <v>9</v>
      </c>
      <c r="AW59" s="20">
        <f t="shared" si="23"/>
        <v>0.69316081330868762</v>
      </c>
      <c r="AX59" s="14" t="s">
        <v>4</v>
      </c>
      <c r="AY59" s="21">
        <v>1.42</v>
      </c>
      <c r="AZ59" s="1">
        <v>158</v>
      </c>
      <c r="BA59" s="125">
        <f t="shared" si="24"/>
        <v>1.2168823166974738E-2</v>
      </c>
      <c r="BB59" s="1">
        <v>5</v>
      </c>
      <c r="BC59" s="127">
        <f t="shared" si="25"/>
        <v>3.8508934072704865E-4</v>
      </c>
    </row>
    <row r="60" spans="1:55">
      <c r="A60" s="10">
        <v>15084</v>
      </c>
      <c r="B60" s="10" t="s">
        <v>65</v>
      </c>
      <c r="C60" s="10">
        <v>177.31</v>
      </c>
      <c r="D60" s="11">
        <v>38622</v>
      </c>
      <c r="E60" s="11">
        <v>0</v>
      </c>
      <c r="F60" s="11">
        <v>30175</v>
      </c>
      <c r="G60" s="11">
        <v>8447</v>
      </c>
      <c r="H60" s="11">
        <v>47542.92161511119</v>
      </c>
      <c r="I60" s="11">
        <f t="shared" si="30"/>
        <v>49971.200626982427</v>
      </c>
      <c r="J60" s="13">
        <v>19.3</v>
      </c>
      <c r="K60" s="13">
        <v>21.7</v>
      </c>
      <c r="L60" s="13">
        <f t="shared" si="19"/>
        <v>26.712272773235796</v>
      </c>
      <c r="M60" s="13">
        <f t="shared" si="31"/>
        <v>28.076615752822711</v>
      </c>
      <c r="N60" s="13">
        <v>554</v>
      </c>
      <c r="O60" s="13">
        <f t="shared" si="32"/>
        <v>716.79470631630329</v>
      </c>
      <c r="P60" s="14">
        <v>528.6</v>
      </c>
      <c r="Q60" s="14">
        <f t="shared" si="33"/>
        <v>1.3686499922324064E-2</v>
      </c>
      <c r="R60" s="15">
        <f t="shared" si="34"/>
        <v>2.9812193333709325</v>
      </c>
      <c r="S60" s="24">
        <v>58</v>
      </c>
      <c r="T60" s="24">
        <v>3.2</v>
      </c>
      <c r="U60" s="16">
        <v>69.5</v>
      </c>
      <c r="V60" s="17">
        <v>83</v>
      </c>
      <c r="W60" s="17">
        <v>72.900000000000006</v>
      </c>
      <c r="X60" s="17">
        <v>1</v>
      </c>
      <c r="Y60" s="13">
        <v>7783</v>
      </c>
      <c r="Z60" s="13">
        <v>0.2</v>
      </c>
      <c r="AA60" s="18">
        <v>15646134</v>
      </c>
      <c r="AB60" s="18">
        <f t="shared" si="35"/>
        <v>56326082.399999999</v>
      </c>
      <c r="AC60" s="18">
        <f t="shared" si="36"/>
        <v>405.10936771788101</v>
      </c>
      <c r="AD60" s="13">
        <f t="shared" si="37"/>
        <v>152955944.02888799</v>
      </c>
      <c r="AE60" s="13">
        <f t="shared" si="38"/>
        <v>34069103.888928995</v>
      </c>
      <c r="AF60" s="13">
        <f t="shared" si="26"/>
        <v>187025047.917817</v>
      </c>
      <c r="AG60" s="30">
        <v>77.72</v>
      </c>
      <c r="AH60" s="30">
        <v>77.72</v>
      </c>
      <c r="AI60" s="13">
        <f t="shared" si="39"/>
        <v>294169.34446900489</v>
      </c>
      <c r="AJ60" s="36">
        <f t="shared" si="40"/>
        <v>7.6166263908913283</v>
      </c>
      <c r="AK60" s="13">
        <f t="shared" si="41"/>
        <v>380611.96547999966</v>
      </c>
      <c r="AL60" s="13">
        <f t="shared" si="42"/>
        <v>715034.48847853323</v>
      </c>
      <c r="AM60" s="13">
        <f t="shared" si="20"/>
        <v>547823.22697926639</v>
      </c>
      <c r="AN60" s="36">
        <f t="shared" si="43"/>
        <v>10.962778962798504</v>
      </c>
      <c r="AO60" s="13">
        <f t="shared" si="44"/>
        <v>143.06900155392387</v>
      </c>
      <c r="AP60" s="13">
        <f t="shared" si="45"/>
        <v>530.99159651444927</v>
      </c>
      <c r="AQ60" s="13">
        <f t="shared" si="21"/>
        <v>764.26795866643295</v>
      </c>
      <c r="AR60" s="41" t="s">
        <v>130</v>
      </c>
      <c r="AS60" s="20">
        <f t="shared" si="46"/>
        <v>128469.45083015999</v>
      </c>
      <c r="AT60" s="20">
        <f t="shared" si="47"/>
        <v>94002.749746200003</v>
      </c>
      <c r="AU60" s="20">
        <f t="shared" si="22"/>
        <v>6.668266276385876</v>
      </c>
      <c r="AV60" s="20">
        <v>11</v>
      </c>
      <c r="AW60" s="20">
        <f t="shared" si="23"/>
        <v>0.28481176531510538</v>
      </c>
      <c r="AX60" s="14" t="s">
        <v>13</v>
      </c>
      <c r="AY60" s="21">
        <v>1.28</v>
      </c>
      <c r="AZ60" s="1">
        <v>192</v>
      </c>
      <c r="BA60" s="125">
        <f t="shared" si="24"/>
        <v>4.971259903681839E-3</v>
      </c>
      <c r="BB60" s="1">
        <v>30</v>
      </c>
      <c r="BC60" s="127">
        <f t="shared" si="25"/>
        <v>7.7675935995028737E-4</v>
      </c>
    </row>
    <row r="61" spans="1:55">
      <c r="A61" s="10">
        <v>15089</v>
      </c>
      <c r="B61" s="10" t="s">
        <v>66</v>
      </c>
      <c r="C61" s="10">
        <v>38</v>
      </c>
      <c r="D61" s="11">
        <v>12470</v>
      </c>
      <c r="E61" s="11">
        <v>0</v>
      </c>
      <c r="F61" s="11">
        <v>6973</v>
      </c>
      <c r="G61" s="11">
        <v>5497</v>
      </c>
      <c r="H61" s="11">
        <v>14295.429892791242</v>
      </c>
      <c r="I61" s="11">
        <f t="shared" si="30"/>
        <v>15025.576278311399</v>
      </c>
      <c r="J61" s="13">
        <v>35.1</v>
      </c>
      <c r="K61" s="13">
        <v>41</v>
      </c>
      <c r="L61" s="13">
        <f t="shared" si="19"/>
        <v>47.001814402922292</v>
      </c>
      <c r="M61" s="13">
        <f t="shared" si="31"/>
        <v>49.402456087471322</v>
      </c>
      <c r="N61" s="13">
        <v>909</v>
      </c>
      <c r="O61" s="13">
        <f t="shared" si="32"/>
        <v>1095.2885995978397</v>
      </c>
      <c r="P61" s="14">
        <v>78.3</v>
      </c>
      <c r="Q61" s="14">
        <f t="shared" si="33"/>
        <v>6.27906976744186E-3</v>
      </c>
      <c r="R61" s="15">
        <f t="shared" si="34"/>
        <v>2.0605263157894735</v>
      </c>
      <c r="S61" s="24">
        <v>53.7</v>
      </c>
      <c r="T61" s="24">
        <v>4.3</v>
      </c>
      <c r="U61" s="16">
        <v>64.099999999999994</v>
      </c>
      <c r="V61" s="17">
        <v>82.6</v>
      </c>
      <c r="W61" s="17">
        <v>75.900000000000006</v>
      </c>
      <c r="X61" s="17">
        <v>1.1000000000000001</v>
      </c>
      <c r="Y61" s="13">
        <v>2823</v>
      </c>
      <c r="Z61" s="13">
        <v>0.22</v>
      </c>
      <c r="AA61" s="18">
        <v>2349369</v>
      </c>
      <c r="AB61" s="18">
        <f t="shared" si="35"/>
        <v>8457728.4000000004</v>
      </c>
      <c r="AC61" s="18">
        <f t="shared" si="36"/>
        <v>188.40168404170009</v>
      </c>
      <c r="AD61" s="13">
        <f t="shared" si="37"/>
        <v>55479202.106327996</v>
      </c>
      <c r="AE61" s="13">
        <f t="shared" si="38"/>
        <v>12357327.544449</v>
      </c>
      <c r="AF61" s="13">
        <f t="shared" si="26"/>
        <v>67836529.650776997</v>
      </c>
      <c r="AG61" s="30">
        <v>449.23</v>
      </c>
      <c r="AH61" s="30">
        <v>224.62</v>
      </c>
      <c r="AI61" s="13">
        <f t="shared" si="39"/>
        <v>87352.349201614968</v>
      </c>
      <c r="AJ61" s="36">
        <f t="shared" si="40"/>
        <v>7.0049999359755386</v>
      </c>
      <c r="AK61" s="13">
        <f t="shared" si="41"/>
        <v>105254.16086756693</v>
      </c>
      <c r="AL61" s="13">
        <f t="shared" si="42"/>
        <v>197735.12632811</v>
      </c>
      <c r="AM61" s="13">
        <f t="shared" si="20"/>
        <v>151494.64359783847</v>
      </c>
      <c r="AN61" s="36">
        <f t="shared" si="43"/>
        <v>10.08245146753624</v>
      </c>
      <c r="AO61" s="13">
        <f t="shared" si="44"/>
        <v>126.36497831526466</v>
      </c>
      <c r="AP61" s="13">
        <f t="shared" si="45"/>
        <v>96.097193841160575</v>
      </c>
      <c r="AQ61" s="13">
        <f t="shared" si="21"/>
        <v>138.31481826202079</v>
      </c>
      <c r="AR61" s="41" t="s">
        <v>130</v>
      </c>
      <c r="AS61" s="20">
        <f t="shared" si="46"/>
        <v>41479.313651599994</v>
      </c>
      <c r="AT61" s="20">
        <f t="shared" si="47"/>
        <v>27927.1799398</v>
      </c>
      <c r="AU61" s="20">
        <f t="shared" si="22"/>
        <v>6.1357515439355828</v>
      </c>
      <c r="AV61" s="20">
        <v>10</v>
      </c>
      <c r="AW61" s="20">
        <f t="shared" si="23"/>
        <v>0.80192461908580592</v>
      </c>
      <c r="AX61" s="14" t="s">
        <v>17</v>
      </c>
      <c r="AY61" s="21">
        <v>1.55</v>
      </c>
      <c r="AZ61" s="1">
        <v>71</v>
      </c>
      <c r="BA61" s="125">
        <f t="shared" si="24"/>
        <v>5.6936647955092221E-3</v>
      </c>
      <c r="BB61" s="1">
        <v>5</v>
      </c>
      <c r="BC61" s="127">
        <f t="shared" si="25"/>
        <v>4.0096230954290296E-4</v>
      </c>
    </row>
    <row r="62" spans="1:55">
      <c r="A62" s="10">
        <v>15091</v>
      </c>
      <c r="B62" s="10" t="s">
        <v>67</v>
      </c>
      <c r="C62" s="10">
        <v>31.52</v>
      </c>
      <c r="D62" s="11">
        <v>66518</v>
      </c>
      <c r="E62" s="11">
        <v>54019</v>
      </c>
      <c r="F62" s="11">
        <v>9488</v>
      </c>
      <c r="G62" s="11">
        <v>3011</v>
      </c>
      <c r="H62" s="11">
        <v>72500.83362692011</v>
      </c>
      <c r="I62" s="11">
        <f t="shared" si="30"/>
        <v>76203.850746159602</v>
      </c>
      <c r="J62" s="13">
        <v>41.8</v>
      </c>
      <c r="K62" s="13">
        <v>44.2</v>
      </c>
      <c r="L62" s="13">
        <f t="shared" si="19"/>
        <v>48.1754840240216</v>
      </c>
      <c r="M62" s="13">
        <f t="shared" si="31"/>
        <v>50.636071484113387</v>
      </c>
      <c r="N62" s="13">
        <v>832</v>
      </c>
      <c r="O62" s="13">
        <f t="shared" si="32"/>
        <v>953.14958087742855</v>
      </c>
      <c r="P62" s="14">
        <v>3422.2</v>
      </c>
      <c r="Q62" s="14">
        <f t="shared" si="33"/>
        <v>5.1447728434408729E-2</v>
      </c>
      <c r="R62" s="15">
        <f t="shared" si="34"/>
        <v>108.57233502538071</v>
      </c>
      <c r="S62" s="24">
        <v>52.1</v>
      </c>
      <c r="T62" s="24">
        <v>4.0999999999999996</v>
      </c>
      <c r="U62" s="16">
        <v>60.6</v>
      </c>
      <c r="V62" s="17">
        <v>72.099999999999994</v>
      </c>
      <c r="W62" s="17">
        <v>49.2</v>
      </c>
      <c r="X62" s="17">
        <v>0.6</v>
      </c>
      <c r="Y62" s="13">
        <v>25470</v>
      </c>
      <c r="Z62" s="13">
        <v>0.38</v>
      </c>
      <c r="AA62" s="18">
        <v>83643548</v>
      </c>
      <c r="AB62" s="18">
        <f t="shared" si="35"/>
        <v>301116772.80000001</v>
      </c>
      <c r="AC62" s="18">
        <f t="shared" si="36"/>
        <v>1257.4573498902553</v>
      </c>
      <c r="AD62" s="13">
        <f t="shared" si="37"/>
        <v>500550930.79991996</v>
      </c>
      <c r="AE62" s="13">
        <f t="shared" si="38"/>
        <v>111491722.47860999</v>
      </c>
      <c r="AF62" s="13">
        <f t="shared" si="26"/>
        <v>612042653.27853</v>
      </c>
      <c r="AG62" s="30">
        <v>238.04</v>
      </c>
      <c r="AH62" s="30">
        <v>238.04</v>
      </c>
      <c r="AI62" s="13">
        <f t="shared" si="39"/>
        <v>687166.56451391114</v>
      </c>
      <c r="AJ62" s="36">
        <f t="shared" si="40"/>
        <v>10.330535562011955</v>
      </c>
      <c r="AK62" s="13">
        <f t="shared" si="41"/>
        <v>787226.59009545296</v>
      </c>
      <c r="AL62" s="13">
        <f t="shared" si="42"/>
        <v>1478918.7235764428</v>
      </c>
      <c r="AM62" s="13">
        <f t="shared" si="20"/>
        <v>1133072.6568359479</v>
      </c>
      <c r="AN62" s="36">
        <f t="shared" si="43"/>
        <v>14.868968506726684</v>
      </c>
      <c r="AO62" s="13">
        <f t="shared" si="44"/>
        <v>115.21983168994879</v>
      </c>
      <c r="AP62" s="13">
        <f t="shared" si="45"/>
        <v>825.92135157922007</v>
      </c>
      <c r="AQ62" s="13">
        <f t="shared" si="21"/>
        <v>1188.766883570247</v>
      </c>
      <c r="AR62" s="41" t="s">
        <v>130</v>
      </c>
      <c r="AS62" s="20">
        <f t="shared" si="46"/>
        <v>221260.70452904</v>
      </c>
      <c r="AT62" s="20">
        <f t="shared" si="47"/>
        <v>219267.69616949998</v>
      </c>
      <c r="AU62" s="20">
        <f t="shared" si="22"/>
        <v>9.0311406561083256</v>
      </c>
      <c r="AV62" s="20">
        <v>34.28</v>
      </c>
      <c r="AW62" s="20">
        <f t="shared" si="23"/>
        <v>0.51534922878017975</v>
      </c>
      <c r="AX62" s="14" t="s">
        <v>13</v>
      </c>
      <c r="AY62" s="21">
        <v>1.53</v>
      </c>
      <c r="AZ62" s="1">
        <v>386</v>
      </c>
      <c r="BA62" s="125">
        <f t="shared" si="24"/>
        <v>5.8029405574430981E-3</v>
      </c>
      <c r="BB62" s="1">
        <v>72</v>
      </c>
      <c r="BC62" s="127">
        <f t="shared" si="25"/>
        <v>1.0824137827355001E-3</v>
      </c>
    </row>
    <row r="63" spans="1:55">
      <c r="A63" s="10">
        <v>15092</v>
      </c>
      <c r="B63" s="10" t="s">
        <v>68</v>
      </c>
      <c r="C63" s="10">
        <v>82.66</v>
      </c>
      <c r="D63" s="11">
        <v>56993</v>
      </c>
      <c r="E63" s="11">
        <v>25078</v>
      </c>
      <c r="F63" s="11">
        <v>23215</v>
      </c>
      <c r="G63" s="11">
        <v>8700</v>
      </c>
      <c r="H63" s="11">
        <v>72114.597879111418</v>
      </c>
      <c r="I63" s="11">
        <f t="shared" si="30"/>
        <v>75797.887810198037</v>
      </c>
      <c r="J63" s="13">
        <v>35.299999999999997</v>
      </c>
      <c r="K63" s="13">
        <v>37.1</v>
      </c>
      <c r="L63" s="13">
        <f t="shared" si="19"/>
        <v>46.943512033320467</v>
      </c>
      <c r="M63" s="13">
        <f t="shared" si="31"/>
        <v>49.341175894554539</v>
      </c>
      <c r="N63" s="13">
        <v>733</v>
      </c>
      <c r="O63" s="13">
        <f t="shared" si="32"/>
        <v>974.85396039645514</v>
      </c>
      <c r="P63" s="14">
        <v>2254.6999999999998</v>
      </c>
      <c r="Q63" s="14">
        <f t="shared" si="33"/>
        <v>3.9560998719140941E-2</v>
      </c>
      <c r="R63" s="15">
        <f t="shared" si="34"/>
        <v>27.276796515848051</v>
      </c>
      <c r="S63" s="24">
        <v>53.7</v>
      </c>
      <c r="T63" s="24">
        <v>3.9</v>
      </c>
      <c r="U63" s="16">
        <v>60.6</v>
      </c>
      <c r="V63" s="17">
        <v>83.9</v>
      </c>
      <c r="W63" s="17">
        <v>67.599999999999994</v>
      </c>
      <c r="X63" s="17">
        <v>2.7</v>
      </c>
      <c r="Y63" s="13">
        <v>28647</v>
      </c>
      <c r="Z63" s="13">
        <v>0.5</v>
      </c>
      <c r="AA63" s="18">
        <v>31472652</v>
      </c>
      <c r="AB63" s="18">
        <f t="shared" si="35"/>
        <v>113301547.19999999</v>
      </c>
      <c r="AC63" s="18">
        <f t="shared" si="36"/>
        <v>552.21960591651612</v>
      </c>
      <c r="AD63" s="13">
        <f t="shared" si="37"/>
        <v>562987142.30959201</v>
      </c>
      <c r="AE63" s="13">
        <f t="shared" si="38"/>
        <v>125398640.51216099</v>
      </c>
      <c r="AF63" s="13">
        <f t="shared" si="26"/>
        <v>688385782.82175303</v>
      </c>
      <c r="AG63" s="30" t="s">
        <v>130</v>
      </c>
      <c r="AH63" s="30" t="s">
        <v>130</v>
      </c>
      <c r="AI63" s="13">
        <f t="shared" si="39"/>
        <v>513519.96165839559</v>
      </c>
      <c r="AJ63" s="36">
        <f t="shared" si="40"/>
        <v>9.0102286536661627</v>
      </c>
      <c r="AK63" s="13">
        <f t="shared" si="41"/>
        <v>682956.30063481955</v>
      </c>
      <c r="AL63" s="13">
        <f t="shared" si="42"/>
        <v>1283031.9416305125</v>
      </c>
      <c r="AM63" s="13">
        <f t="shared" si="20"/>
        <v>982994.12113266601</v>
      </c>
      <c r="AN63" s="36">
        <f t="shared" si="43"/>
        <v>12.968621547794786</v>
      </c>
      <c r="AO63" s="13">
        <f t="shared" si="44"/>
        <v>149.85045128275124</v>
      </c>
      <c r="AP63" s="13">
        <f t="shared" si="45"/>
        <v>700.57293541390936</v>
      </c>
      <c r="AQ63" s="13">
        <f t="shared" si="21"/>
        <v>1008.3501335245131</v>
      </c>
      <c r="AR63" s="41" t="s">
        <v>130</v>
      </c>
      <c r="AS63" s="20">
        <f t="shared" si="46"/>
        <v>189577.42766203999</v>
      </c>
      <c r="AT63" s="20">
        <f t="shared" si="47"/>
        <v>163956.77697809998</v>
      </c>
      <c r="AU63" s="20">
        <f t="shared" si="22"/>
        <v>7.8816108865135801</v>
      </c>
      <c r="AV63" s="20">
        <v>67.180000000000007</v>
      </c>
      <c r="AW63" s="20">
        <f t="shared" si="23"/>
        <v>1.1787412489253066</v>
      </c>
      <c r="AX63" s="14" t="s">
        <v>17</v>
      </c>
      <c r="AY63" s="21">
        <v>1.82</v>
      </c>
      <c r="AZ63" s="1">
        <v>559</v>
      </c>
      <c r="BA63" s="125">
        <f t="shared" si="24"/>
        <v>9.8082220623585351E-3</v>
      </c>
      <c r="BB63" s="1">
        <v>69</v>
      </c>
      <c r="BC63" s="127">
        <f t="shared" si="25"/>
        <v>1.2106749951748461E-3</v>
      </c>
    </row>
    <row r="64" spans="1:55">
      <c r="A64" s="10">
        <v>15093</v>
      </c>
      <c r="B64" s="10" t="s">
        <v>69</v>
      </c>
      <c r="C64" s="10">
        <v>172.38</v>
      </c>
      <c r="D64" s="11">
        <v>30680</v>
      </c>
      <c r="E64" s="11">
        <v>0</v>
      </c>
      <c r="F64" s="11">
        <v>19779</v>
      </c>
      <c r="G64" s="11">
        <v>10901</v>
      </c>
      <c r="H64" s="11">
        <v>37241.247187290151</v>
      </c>
      <c r="I64" s="11">
        <f t="shared" si="30"/>
        <v>39143.362914483107</v>
      </c>
      <c r="J64" s="13">
        <v>13.1</v>
      </c>
      <c r="K64" s="13">
        <v>15.5</v>
      </c>
      <c r="L64" s="13">
        <f t="shared" si="19"/>
        <v>18.814841310397565</v>
      </c>
      <c r="M64" s="13">
        <f t="shared" si="31"/>
        <v>19.775818943105872</v>
      </c>
      <c r="N64" s="13">
        <v>740</v>
      </c>
      <c r="O64" s="13">
        <f t="shared" si="32"/>
        <v>944.13587212247387</v>
      </c>
      <c r="P64" s="14">
        <v>342.2</v>
      </c>
      <c r="Q64" s="14">
        <f t="shared" si="33"/>
        <v>1.1153846153846153E-2</v>
      </c>
      <c r="R64" s="15">
        <f t="shared" si="34"/>
        <v>1.9851490892214874</v>
      </c>
      <c r="S64" s="24">
        <v>56</v>
      </c>
      <c r="T64" s="24">
        <v>3.8</v>
      </c>
      <c r="U64" s="16">
        <v>62.5</v>
      </c>
      <c r="V64" s="17">
        <v>87.8</v>
      </c>
      <c r="W64" s="17">
        <v>76.3</v>
      </c>
      <c r="X64" s="17">
        <v>2.6</v>
      </c>
      <c r="Y64" s="13">
        <v>8866</v>
      </c>
      <c r="Z64" s="13">
        <v>0.28000000000000003</v>
      </c>
      <c r="AA64" s="18">
        <v>60736950</v>
      </c>
      <c r="AB64" s="18">
        <f t="shared" si="35"/>
        <v>218653020</v>
      </c>
      <c r="AC64" s="18">
        <f t="shared" si="36"/>
        <v>1979.6919817470664</v>
      </c>
      <c r="AD64" s="13">
        <f t="shared" si="37"/>
        <v>174239676.18657601</v>
      </c>
      <c r="AE64" s="13">
        <f t="shared" si="38"/>
        <v>38809800.215757996</v>
      </c>
      <c r="AF64" s="13">
        <f t="shared" si="26"/>
        <v>213049476.402334</v>
      </c>
      <c r="AG64" s="30" t="s">
        <v>130</v>
      </c>
      <c r="AH64" s="30" t="s">
        <v>130</v>
      </c>
      <c r="AI64" s="13">
        <f t="shared" si="39"/>
        <v>222137.24255326902</v>
      </c>
      <c r="AJ64" s="36">
        <f t="shared" si="40"/>
        <v>7.2404577103412331</v>
      </c>
      <c r="AK64" s="13">
        <f t="shared" si="41"/>
        <v>283415.8638228543</v>
      </c>
      <c r="AL64" s="13">
        <f t="shared" si="42"/>
        <v>532437.58892263519</v>
      </c>
      <c r="AM64" s="13">
        <f t="shared" si="20"/>
        <v>407926.72637274477</v>
      </c>
      <c r="AN64" s="36">
        <f t="shared" si="43"/>
        <v>10.42135105417351</v>
      </c>
      <c r="AO64" s="13">
        <f t="shared" si="44"/>
        <v>139.68857396568944</v>
      </c>
      <c r="AP64" s="13">
        <f t="shared" si="45"/>
        <v>300.185462909823</v>
      </c>
      <c r="AQ64" s="13">
        <f t="shared" si="21"/>
        <v>432.06358154330172</v>
      </c>
      <c r="AR64" s="41" t="s">
        <v>130</v>
      </c>
      <c r="AS64" s="20">
        <f t="shared" si="46"/>
        <v>102051.75163039999</v>
      </c>
      <c r="AT64" s="20">
        <f t="shared" si="47"/>
        <v>71005.0279324</v>
      </c>
      <c r="AU64" s="20">
        <f t="shared" si="22"/>
        <v>6.3407536865210474</v>
      </c>
      <c r="AV64" s="20">
        <v>22</v>
      </c>
      <c r="AW64" s="20">
        <f t="shared" si="23"/>
        <v>0.71707953063885266</v>
      </c>
      <c r="AX64" s="14" t="s">
        <v>17</v>
      </c>
      <c r="AY64" s="21">
        <v>1.39</v>
      </c>
      <c r="AZ64" s="1">
        <v>68</v>
      </c>
      <c r="BA64" s="125">
        <f t="shared" si="24"/>
        <v>2.2164276401564539E-3</v>
      </c>
      <c r="BB64" s="1">
        <v>10</v>
      </c>
      <c r="BC64" s="127">
        <f t="shared" si="25"/>
        <v>3.2594524119947848E-4</v>
      </c>
    </row>
    <row r="65" spans="1:55">
      <c r="A65" s="10">
        <v>15094</v>
      </c>
      <c r="B65" s="10" t="s">
        <v>70</v>
      </c>
      <c r="C65" s="10">
        <v>47.82</v>
      </c>
      <c r="D65" s="11">
        <v>19843</v>
      </c>
      <c r="E65" s="11">
        <v>0</v>
      </c>
      <c r="F65" s="11">
        <v>14334</v>
      </c>
      <c r="G65" s="11">
        <v>5509</v>
      </c>
      <c r="H65" s="11">
        <v>24075.216528913439</v>
      </c>
      <c r="I65" s="11">
        <f t="shared" si="30"/>
        <v>25304.870513510683</v>
      </c>
      <c r="J65" s="13">
        <v>33.9</v>
      </c>
      <c r="K65" s="13">
        <v>32.200000000000003</v>
      </c>
      <c r="L65" s="13">
        <f t="shared" si="19"/>
        <v>39.067780689966888</v>
      </c>
      <c r="M65" s="13">
        <f t="shared" si="31"/>
        <v>41.063187549011957</v>
      </c>
      <c r="N65" s="13">
        <v>513</v>
      </c>
      <c r="O65" s="13">
        <f t="shared" si="32"/>
        <v>654.20544138643243</v>
      </c>
      <c r="P65" s="14">
        <v>384.3</v>
      </c>
      <c r="Q65" s="14">
        <f t="shared" si="33"/>
        <v>1.9367031194879807E-2</v>
      </c>
      <c r="R65" s="15">
        <f t="shared" si="34"/>
        <v>8.036386449184441</v>
      </c>
      <c r="S65" s="24">
        <v>68.400000000000006</v>
      </c>
      <c r="T65" s="24">
        <v>4.9000000000000004</v>
      </c>
      <c r="U65" s="16">
        <v>68.7</v>
      </c>
      <c r="V65" s="17">
        <v>71.3</v>
      </c>
      <c r="W65" s="17">
        <v>76.099999999999994</v>
      </c>
      <c r="X65" s="17">
        <v>2.9</v>
      </c>
      <c r="Y65" s="13">
        <v>3207</v>
      </c>
      <c r="Z65" s="13">
        <v>0.16</v>
      </c>
      <c r="AA65" s="18">
        <v>4161476</v>
      </c>
      <c r="AB65" s="18">
        <f t="shared" si="35"/>
        <v>14981313.6</v>
      </c>
      <c r="AC65" s="18">
        <f t="shared" si="36"/>
        <v>209.72010280703523</v>
      </c>
      <c r="AD65" s="13">
        <f t="shared" si="37"/>
        <v>63025788.577752002</v>
      </c>
      <c r="AE65" s="13">
        <f t="shared" si="38"/>
        <v>14038239.261441</v>
      </c>
      <c r="AF65" s="13">
        <f t="shared" si="26"/>
        <v>77064027.839193001</v>
      </c>
      <c r="AG65" s="30" t="s">
        <v>130</v>
      </c>
      <c r="AH65" s="30" t="s">
        <v>130</v>
      </c>
      <c r="AI65" s="13">
        <f t="shared" si="39"/>
        <v>147917.20447659882</v>
      </c>
      <c r="AJ65" s="36">
        <f t="shared" si="40"/>
        <v>7.4543770839388612</v>
      </c>
      <c r="AK65" s="13">
        <f t="shared" si="41"/>
        <v>188632.04686795422</v>
      </c>
      <c r="AL65" s="13">
        <f t="shared" si="42"/>
        <v>354372.51420298277</v>
      </c>
      <c r="AM65" s="13">
        <f t="shared" si="20"/>
        <v>271502.28053546848</v>
      </c>
      <c r="AN65" s="36">
        <f t="shared" si="43"/>
        <v>10.729249943820459</v>
      </c>
      <c r="AO65" s="13">
        <f t="shared" si="44"/>
        <v>139.57491317992432</v>
      </c>
      <c r="AP65" s="13">
        <f t="shared" si="45"/>
        <v>288.33763055867217</v>
      </c>
      <c r="AQ65" s="13">
        <f t="shared" si="21"/>
        <v>415.01073418173371</v>
      </c>
      <c r="AR65" s="41" t="s">
        <v>130</v>
      </c>
      <c r="AS65" s="20">
        <f t="shared" si="46"/>
        <v>66004.332060039989</v>
      </c>
      <c r="AT65" s="20">
        <f t="shared" si="47"/>
        <v>47273.0944877</v>
      </c>
      <c r="AU65" s="20">
        <f t="shared" si="22"/>
        <v>6.5270033444318729</v>
      </c>
      <c r="AV65" s="20">
        <v>10</v>
      </c>
      <c r="AW65" s="20">
        <f t="shared" si="23"/>
        <v>0.50395605503200125</v>
      </c>
      <c r="AX65" s="14" t="s">
        <v>13</v>
      </c>
      <c r="AY65" s="21">
        <v>1.47</v>
      </c>
      <c r="AZ65" s="1">
        <v>73</v>
      </c>
      <c r="BA65" s="125">
        <f t="shared" si="24"/>
        <v>3.6788792017336089E-3</v>
      </c>
      <c r="BB65" s="1">
        <v>11</v>
      </c>
      <c r="BC65" s="127">
        <f t="shared" si="25"/>
        <v>5.5435166053520132E-4</v>
      </c>
    </row>
    <row r="66" spans="1:55">
      <c r="A66" s="10">
        <v>15095</v>
      </c>
      <c r="B66" s="10" t="s">
        <v>71</v>
      </c>
      <c r="C66" s="10">
        <v>208.83</v>
      </c>
      <c r="D66" s="11">
        <v>94198</v>
      </c>
      <c r="E66" s="11">
        <v>40546</v>
      </c>
      <c r="F66" s="11">
        <v>38376</v>
      </c>
      <c r="G66" s="11">
        <v>15276</v>
      </c>
      <c r="H66" s="11">
        <v>131252.77786865426</v>
      </c>
      <c r="I66" s="11">
        <f t="shared" si="30"/>
        <v>137956.58055727463</v>
      </c>
      <c r="J66" s="13">
        <v>68</v>
      </c>
      <c r="K66" s="13">
        <v>55.4</v>
      </c>
      <c r="L66" s="13">
        <f t="shared" si="19"/>
        <v>77.192763051481407</v>
      </c>
      <c r="M66" s="13">
        <f t="shared" si="31"/>
        <v>81.135422863256281</v>
      </c>
      <c r="N66" s="13">
        <v>1216</v>
      </c>
      <c r="O66" s="13">
        <f t="shared" si="32"/>
        <v>1780.8785956989104</v>
      </c>
      <c r="P66" s="14">
        <v>20307.5</v>
      </c>
      <c r="Q66" s="14">
        <f t="shared" si="33"/>
        <v>0.21558313339985988</v>
      </c>
      <c r="R66" s="15">
        <f t="shared" si="34"/>
        <v>97.244169898960877</v>
      </c>
      <c r="S66" s="24">
        <v>38.4</v>
      </c>
      <c r="T66" s="24">
        <v>4.2</v>
      </c>
      <c r="U66" s="16">
        <v>58.2</v>
      </c>
      <c r="V66" s="17">
        <v>75.7</v>
      </c>
      <c r="W66" s="17">
        <v>35.200000000000003</v>
      </c>
      <c r="X66" s="17">
        <v>5.6</v>
      </c>
      <c r="Y66" s="13">
        <v>32914</v>
      </c>
      <c r="Z66" s="13">
        <v>0.35</v>
      </c>
      <c r="AA66" s="18">
        <v>226635714</v>
      </c>
      <c r="AB66" s="18">
        <f t="shared" si="35"/>
        <v>815888570.39999998</v>
      </c>
      <c r="AC66" s="18">
        <f t="shared" si="36"/>
        <v>2405.9503811121253</v>
      </c>
      <c r="AD66" s="13">
        <f t="shared" si="37"/>
        <v>646844653.95950401</v>
      </c>
      <c r="AE66" s="13">
        <f t="shared" si="38"/>
        <v>144076896.49238199</v>
      </c>
      <c r="AF66" s="13">
        <f t="shared" si="26"/>
        <v>790921550.45188594</v>
      </c>
      <c r="AG66" s="30" t="s">
        <v>130</v>
      </c>
      <c r="AH66" s="30" t="s">
        <v>130</v>
      </c>
      <c r="AI66" s="13">
        <f t="shared" si="39"/>
        <v>843790.04613998707</v>
      </c>
      <c r="AJ66" s="36">
        <f t="shared" si="40"/>
        <v>8.9576216707359713</v>
      </c>
      <c r="AK66" s="13">
        <f t="shared" si="41"/>
        <v>1235762.855620476</v>
      </c>
      <c r="AL66" s="13">
        <f t="shared" si="42"/>
        <v>2321558.8092061458</v>
      </c>
      <c r="AM66" s="13">
        <f t="shared" si="20"/>
        <v>1778660.8324133109</v>
      </c>
      <c r="AN66" s="36">
        <f t="shared" si="43"/>
        <v>12.892903152777656</v>
      </c>
      <c r="AO66" s="13">
        <f t="shared" si="44"/>
        <v>175.13465225459566</v>
      </c>
      <c r="AP66" s="13">
        <f t="shared" si="45"/>
        <v>693.90628794406837</v>
      </c>
      <c r="AQ66" s="13">
        <f t="shared" si="21"/>
        <v>998.7546802511099</v>
      </c>
      <c r="AR66" s="41" t="s">
        <v>130</v>
      </c>
      <c r="AS66" s="20">
        <f t="shared" si="46"/>
        <v>313333.47131944</v>
      </c>
      <c r="AT66" s="20">
        <f t="shared" si="47"/>
        <v>269412.88123599999</v>
      </c>
      <c r="AU66" s="20">
        <f t="shared" si="22"/>
        <v>7.8358084337072569</v>
      </c>
      <c r="AV66" s="20">
        <v>78</v>
      </c>
      <c r="AW66" s="20">
        <f t="shared" si="23"/>
        <v>0.82804305823902846</v>
      </c>
      <c r="AX66" s="14" t="s">
        <v>17</v>
      </c>
      <c r="AY66" s="21">
        <v>1.47</v>
      </c>
      <c r="AZ66" s="1">
        <v>311</v>
      </c>
      <c r="BA66" s="125">
        <f t="shared" si="24"/>
        <v>3.3015562963120237E-3</v>
      </c>
      <c r="BB66" s="1">
        <v>61</v>
      </c>
      <c r="BC66" s="127">
        <f t="shared" si="25"/>
        <v>6.4757213528949663E-4</v>
      </c>
    </row>
    <row r="67" spans="1:55">
      <c r="A67" s="10">
        <v>15096</v>
      </c>
      <c r="B67" s="10" t="s">
        <v>72</v>
      </c>
      <c r="C67" s="10">
        <v>123.32</v>
      </c>
      <c r="D67" s="11">
        <v>36902</v>
      </c>
      <c r="E67" s="11">
        <v>24679</v>
      </c>
      <c r="F67" s="11">
        <v>10034</v>
      </c>
      <c r="G67" s="11">
        <v>2189</v>
      </c>
      <c r="H67" s="11">
        <v>45131.597715656404</v>
      </c>
      <c r="I67" s="11">
        <f t="shared" si="30"/>
        <v>47436.717127382057</v>
      </c>
      <c r="J67" s="13">
        <v>16.899999999999999</v>
      </c>
      <c r="K67" s="13">
        <v>18.7</v>
      </c>
      <c r="L67" s="13">
        <f t="shared" si="19"/>
        <v>22.870328905825559</v>
      </c>
      <c r="M67" s="13">
        <f t="shared" ref="M67:M78" si="48">((L67*100)/H67)/100*I67</f>
        <v>24.038442639478742</v>
      </c>
      <c r="N67" s="13">
        <v>1411</v>
      </c>
      <c r="O67" s="13">
        <f t="shared" ref="O67:O78" si="49">(((N67*C67)/D67)*I67)/C67</f>
        <v>1813.8097627970321</v>
      </c>
      <c r="P67" s="14">
        <v>757.6</v>
      </c>
      <c r="Q67" s="14">
        <f t="shared" ref="Q67:Q78" si="50">P67/D67</f>
        <v>2.0530052571676331E-2</v>
      </c>
      <c r="R67" s="15">
        <f t="shared" ref="R67:R78" si="51">P67/C67</f>
        <v>6.143366850470322</v>
      </c>
      <c r="S67" s="24">
        <v>60.2</v>
      </c>
      <c r="T67" s="24">
        <v>4.8</v>
      </c>
      <c r="U67" s="16">
        <v>67.400000000000006</v>
      </c>
      <c r="V67" s="17">
        <v>65.3</v>
      </c>
      <c r="W67" s="17">
        <v>61.5</v>
      </c>
      <c r="X67" s="17">
        <v>0.1</v>
      </c>
      <c r="Y67" s="13">
        <v>9724</v>
      </c>
      <c r="Z67" s="13">
        <v>0.26</v>
      </c>
      <c r="AA67" s="18">
        <v>19028458</v>
      </c>
      <c r="AB67" s="18">
        <f t="shared" ref="AB67:AB78" si="52">((AC67*0.0000000036)*1000000000)*D67</f>
        <v>68502448.799999997</v>
      </c>
      <c r="AC67" s="18">
        <f t="shared" ref="AC67:AC78" si="53">AA67/D67</f>
        <v>515.6484201398298</v>
      </c>
      <c r="AD67" s="13">
        <f t="shared" ref="AD67:AD78" si="54">19652.568936*Y67</f>
        <v>191101580.333664</v>
      </c>
      <c r="AE67" s="13">
        <f t="shared" ref="AE67:AE78" si="55">4377.374263*Y67</f>
        <v>42565587.333411999</v>
      </c>
      <c r="AF67" s="13">
        <f t="shared" si="26"/>
        <v>233667167.66707599</v>
      </c>
      <c r="AG67" s="30">
        <v>94.96</v>
      </c>
      <c r="AH67" s="30">
        <v>94.96</v>
      </c>
      <c r="AI67" s="13">
        <f t="shared" ref="AI67:AI78" si="56">( 10.97262253*E67)+(8.218893262742*F67)+(5.465163995*G67)</f>
        <v>365224.97040127829</v>
      </c>
      <c r="AJ67" s="36">
        <f t="shared" ref="AJ67:AJ78" si="57">AI67/D67</f>
        <v>9.8971592434360822</v>
      </c>
      <c r="AK67" s="13">
        <f t="shared" ref="AK67:AK78" si="58">AJ67*I67</f>
        <v>469488.74339553202</v>
      </c>
      <c r="AL67" s="13">
        <f t="shared" ref="AL67:AL78" si="59">(AJ67*I67)+(AJ67*I67)*$AL$129</f>
        <v>882002.33814744314</v>
      </c>
      <c r="AM67" s="13">
        <f t="shared" si="20"/>
        <v>675745.54077148763</v>
      </c>
      <c r="AN67" s="36">
        <f t="shared" ref="AN67:AN78" si="60">AM67/I67</f>
        <v>14.245200378367345</v>
      </c>
      <c r="AO67" s="13">
        <f t="shared" ref="AO67:AO78" si="61">((AL67*100)/AI67)-100</f>
        <v>141.49562861990887</v>
      </c>
      <c r="AP67" s="13">
        <f t="shared" ref="AP67:AP78" si="62">AI67/N67</f>
        <v>258.84122636518657</v>
      </c>
      <c r="AQ67" s="13">
        <f t="shared" si="21"/>
        <v>372.55590670624508</v>
      </c>
      <c r="AR67" s="41" t="s">
        <v>130</v>
      </c>
      <c r="AS67" s="20">
        <f t="shared" si="46"/>
        <v>122748.16618855999</v>
      </c>
      <c r="AT67" s="20">
        <f t="shared" si="47"/>
        <v>116560.29294749998</v>
      </c>
      <c r="AU67" s="20">
        <f t="shared" si="22"/>
        <v>8.6538200734191921</v>
      </c>
      <c r="AV67" s="20">
        <v>13</v>
      </c>
      <c r="AW67" s="20">
        <f t="shared" si="23"/>
        <v>0.35228442902823698</v>
      </c>
      <c r="AX67" s="14" t="s">
        <v>13</v>
      </c>
      <c r="AY67" s="21">
        <v>0.95</v>
      </c>
      <c r="AZ67" s="1">
        <v>132</v>
      </c>
      <c r="BA67" s="125">
        <f t="shared" si="24"/>
        <v>3.577041894748252E-3</v>
      </c>
      <c r="BB67" s="1">
        <v>29</v>
      </c>
      <c r="BC67" s="127">
        <f t="shared" si="25"/>
        <v>7.8586526475529783E-4</v>
      </c>
    </row>
    <row r="68" spans="1:55">
      <c r="A68" s="10">
        <v>15099</v>
      </c>
      <c r="B68" s="10" t="s">
        <v>73</v>
      </c>
      <c r="C68" s="10">
        <v>422.53</v>
      </c>
      <c r="D68" s="11">
        <v>240749</v>
      </c>
      <c r="E68" s="11">
        <v>146781</v>
      </c>
      <c r="F68" s="11">
        <v>77913</v>
      </c>
      <c r="G68" s="11">
        <v>16055</v>
      </c>
      <c r="H68" s="11">
        <v>317031.88834668207</v>
      </c>
      <c r="I68" s="11">
        <f t="shared" si="30"/>
        <v>333224.45402025362</v>
      </c>
      <c r="J68" s="13">
        <v>46.9</v>
      </c>
      <c r="K68" s="13">
        <v>45.9</v>
      </c>
      <c r="L68" s="13">
        <f>((K68*100)/D68)/100*H68</f>
        <v>60.443713889207039</v>
      </c>
      <c r="M68" s="13">
        <f t="shared" si="48"/>
        <v>63.530907457682638</v>
      </c>
      <c r="N68" s="13">
        <v>815</v>
      </c>
      <c r="O68" s="13">
        <f t="shared" si="49"/>
        <v>1128.0542391723607</v>
      </c>
      <c r="P68" s="14">
        <v>22434</v>
      </c>
      <c r="Q68" s="14">
        <f t="shared" si="50"/>
        <v>9.3184187680945718E-2</v>
      </c>
      <c r="R68" s="15">
        <f t="shared" si="51"/>
        <v>53.094454831609596</v>
      </c>
      <c r="S68" s="24">
        <v>45.8</v>
      </c>
      <c r="T68" s="24">
        <v>3</v>
      </c>
      <c r="U68" s="16">
        <v>49.6</v>
      </c>
      <c r="V68" s="17">
        <v>75.5</v>
      </c>
      <c r="W68" s="17">
        <v>41.1</v>
      </c>
      <c r="X68" s="17">
        <v>6.2</v>
      </c>
      <c r="Y68" s="13">
        <v>132784</v>
      </c>
      <c r="Z68" s="13">
        <v>0.55000000000000004</v>
      </c>
      <c r="AA68" s="18">
        <v>240263666</v>
      </c>
      <c r="AB68" s="18">
        <f t="shared" si="52"/>
        <v>864949197.60000002</v>
      </c>
      <c r="AC68" s="18">
        <f t="shared" si="53"/>
        <v>997.98406639279915</v>
      </c>
      <c r="AD68" s="13">
        <f t="shared" si="54"/>
        <v>2609546713.5978241</v>
      </c>
      <c r="AE68" s="13">
        <f t="shared" si="55"/>
        <v>581245264.13819194</v>
      </c>
      <c r="AF68" s="13">
        <f t="shared" si="26"/>
        <v>3190791977.7360163</v>
      </c>
      <c r="AG68" s="30">
        <v>150</v>
      </c>
      <c r="AH68" s="30">
        <v>75</v>
      </c>
      <c r="AI68" s="13">
        <f t="shared" si="56"/>
        <v>2338674.3462956725</v>
      </c>
      <c r="AJ68" s="36">
        <f t="shared" si="57"/>
        <v>9.7141601680408751</v>
      </c>
      <c r="AK68" s="13">
        <f t="shared" si="58"/>
        <v>3236995.7182607157</v>
      </c>
      <c r="AL68" s="13">
        <f t="shared" si="59"/>
        <v>6081163.4618338831</v>
      </c>
      <c r="AM68" s="13">
        <f t="shared" ref="AM68:AM78" si="63">(AL68+AK68)/2</f>
        <v>4659079.5900472999</v>
      </c>
      <c r="AN68" s="36">
        <f t="shared" si="60"/>
        <v>13.981805758361652</v>
      </c>
      <c r="AO68" s="13">
        <f t="shared" si="61"/>
        <v>160.02609005679227</v>
      </c>
      <c r="AP68" s="13">
        <f t="shared" si="62"/>
        <v>2869.539075209414</v>
      </c>
      <c r="AQ68" s="13">
        <f t="shared" ref="AQ68:AQ78" si="64">AM68/O68</f>
        <v>4130.1911098402579</v>
      </c>
      <c r="AR68" s="41" t="s">
        <v>130</v>
      </c>
      <c r="AS68" s="20">
        <f t="shared" si="46"/>
        <v>800810.20708172</v>
      </c>
      <c r="AT68" s="20">
        <f t="shared" si="47"/>
        <v>746439.70424979995</v>
      </c>
      <c r="AU68" s="20">
        <f t="shared" ref="AU68:AU78" si="65">((AT68/D68)*1000)/365</f>
        <v>8.4944912984722283</v>
      </c>
      <c r="AV68" s="20">
        <v>98.54</v>
      </c>
      <c r="AW68" s="20">
        <f t="shared" ref="AW68:AW78" si="66">(AV68*1000)/D68</f>
        <v>0.409305957657145</v>
      </c>
      <c r="AX68" s="14" t="s">
        <v>17</v>
      </c>
      <c r="AY68" s="21">
        <v>1.47</v>
      </c>
      <c r="AZ68" s="1">
        <v>1323</v>
      </c>
      <c r="BA68" s="125">
        <f t="shared" ref="BA68:BA78" si="67">AZ68/D68</f>
        <v>5.4953499287639825E-3</v>
      </c>
      <c r="BB68" s="1">
        <v>244</v>
      </c>
      <c r="BC68" s="127">
        <f t="shared" ref="BC68:BC78" si="68">BB68/D68</f>
        <v>1.013503690565693E-3</v>
      </c>
    </row>
    <row r="69" spans="1:55">
      <c r="A69" s="10">
        <v>15100</v>
      </c>
      <c r="B69" s="10" t="s">
        <v>74</v>
      </c>
      <c r="C69" s="10">
        <v>11.03</v>
      </c>
      <c r="D69" s="11">
        <v>41333</v>
      </c>
      <c r="E69" s="11">
        <v>19884</v>
      </c>
      <c r="F69" s="11">
        <v>18990</v>
      </c>
      <c r="G69" s="11">
        <v>2459</v>
      </c>
      <c r="H69" s="11">
        <v>54556.771495310139</v>
      </c>
      <c r="I69" s="11">
        <f t="shared" si="30"/>
        <v>57343.286473291824</v>
      </c>
      <c r="J69" s="13">
        <v>30.9</v>
      </c>
      <c r="K69" s="13">
        <v>37</v>
      </c>
      <c r="L69" s="13">
        <f t="shared" ref="L69:L78" si="69">((K69*100)/D69)/100*H69</f>
        <v>48.837503818413253</v>
      </c>
      <c r="M69" s="13">
        <f t="shared" si="48"/>
        <v>51.331904277739277</v>
      </c>
      <c r="N69" s="13">
        <v>1468</v>
      </c>
      <c r="O69" s="13">
        <f t="shared" si="49"/>
        <v>2036.6279859384124</v>
      </c>
      <c r="P69" s="14">
        <v>1144.0999999999999</v>
      </c>
      <c r="Q69" s="14">
        <f t="shared" si="50"/>
        <v>2.7680061935983352E-2</v>
      </c>
      <c r="R69" s="15">
        <f t="shared" si="51"/>
        <v>103.72620126926563</v>
      </c>
      <c r="S69" s="24">
        <v>65.400000000000006</v>
      </c>
      <c r="T69" s="24">
        <v>5.5</v>
      </c>
      <c r="U69" s="16">
        <v>64</v>
      </c>
      <c r="V69" s="17">
        <v>73.8</v>
      </c>
      <c r="W69" s="17">
        <v>64.5</v>
      </c>
      <c r="X69" s="17">
        <v>1.1000000000000001</v>
      </c>
      <c r="Y69" s="13">
        <v>13111</v>
      </c>
      <c r="Z69" s="13">
        <v>0.31</v>
      </c>
      <c r="AA69" s="18">
        <v>19066267</v>
      </c>
      <c r="AB69" s="18">
        <f t="shared" si="52"/>
        <v>68638561.200000003</v>
      </c>
      <c r="AC69" s="18">
        <f t="shared" si="53"/>
        <v>461.28437326107468</v>
      </c>
      <c r="AD69" s="13">
        <f t="shared" si="54"/>
        <v>257664831.31989598</v>
      </c>
      <c r="AE69" s="13">
        <f t="shared" si="55"/>
        <v>57391753.962192997</v>
      </c>
      <c r="AF69" s="13">
        <f t="shared" ref="AF69:AF78" si="70">SUM(AD69:AE69)</f>
        <v>315056585.28208899</v>
      </c>
      <c r="AG69" s="30" t="s">
        <v>130</v>
      </c>
      <c r="AH69" s="30" t="s">
        <v>130</v>
      </c>
      <c r="AI69" s="13">
        <f t="shared" si="56"/>
        <v>387695.2477096956</v>
      </c>
      <c r="AJ69" s="36">
        <f t="shared" si="57"/>
        <v>9.379799378455365</v>
      </c>
      <c r="AK69" s="13">
        <f t="shared" si="58"/>
        <v>537868.52282077062</v>
      </c>
      <c r="AL69" s="13">
        <f t="shared" si="59"/>
        <v>1010463.6190268791</v>
      </c>
      <c r="AM69" s="13">
        <f t="shared" si="63"/>
        <v>774166.07092382479</v>
      </c>
      <c r="AN69" s="36">
        <f t="shared" si="60"/>
        <v>13.500552872643599</v>
      </c>
      <c r="AO69" s="13">
        <f t="shared" si="61"/>
        <v>160.63348080642697</v>
      </c>
      <c r="AP69" s="13">
        <f t="shared" si="62"/>
        <v>264.09758018371633</v>
      </c>
      <c r="AQ69" s="13">
        <f t="shared" si="64"/>
        <v>380.12149310965793</v>
      </c>
      <c r="AR69" s="41" t="s">
        <v>130</v>
      </c>
      <c r="AS69" s="20">
        <f t="shared" si="46"/>
        <v>137487.12679723999</v>
      </c>
      <c r="AT69" s="20">
        <f t="shared" si="47"/>
        <v>123760.6454047</v>
      </c>
      <c r="AU69" s="20">
        <f t="shared" si="65"/>
        <v>8.2033789316705725</v>
      </c>
      <c r="AV69" s="20">
        <v>8.5</v>
      </c>
      <c r="AW69" s="20">
        <f t="shared" si="66"/>
        <v>0.20564681973241719</v>
      </c>
      <c r="AX69" s="14" t="s">
        <v>13</v>
      </c>
      <c r="AY69" s="21">
        <v>1.5</v>
      </c>
      <c r="AZ69" s="1">
        <v>244</v>
      </c>
      <c r="BA69" s="125">
        <f t="shared" si="67"/>
        <v>5.9032734134952698E-3</v>
      </c>
      <c r="BB69" s="1">
        <v>43</v>
      </c>
      <c r="BC69" s="127">
        <f t="shared" si="68"/>
        <v>1.0403309704110518E-3</v>
      </c>
    </row>
    <row r="70" spans="1:55">
      <c r="A70" s="10">
        <v>15103</v>
      </c>
      <c r="B70" s="10" t="s">
        <v>75</v>
      </c>
      <c r="C70" s="10">
        <v>158.57</v>
      </c>
      <c r="D70" s="11">
        <v>47390</v>
      </c>
      <c r="E70" s="11">
        <v>21443</v>
      </c>
      <c r="F70" s="11">
        <v>17989</v>
      </c>
      <c r="G70" s="11">
        <v>7958</v>
      </c>
      <c r="H70" s="11">
        <v>59029.229283020293</v>
      </c>
      <c r="I70" s="11">
        <f t="shared" si="30"/>
        <v>62044.177327553873</v>
      </c>
      <c r="J70" s="13">
        <v>51.2</v>
      </c>
      <c r="K70" s="13">
        <v>53.5</v>
      </c>
      <c r="L70" s="13">
        <f t="shared" si="69"/>
        <v>66.639876907397877</v>
      </c>
      <c r="M70" s="13">
        <f t="shared" si="48"/>
        <v>70.043542667738578</v>
      </c>
      <c r="N70" s="13">
        <v>1175</v>
      </c>
      <c r="O70" s="13">
        <f t="shared" si="49"/>
        <v>1538.3394884970628</v>
      </c>
      <c r="P70" s="14">
        <v>1197.4000000000001</v>
      </c>
      <c r="Q70" s="14">
        <f t="shared" si="50"/>
        <v>2.5266933952310618E-2</v>
      </c>
      <c r="R70" s="15">
        <f t="shared" si="51"/>
        <v>7.551239200353157</v>
      </c>
      <c r="S70" s="24">
        <v>45.6</v>
      </c>
      <c r="T70" s="24">
        <v>4.5</v>
      </c>
      <c r="U70" s="16">
        <v>56.6</v>
      </c>
      <c r="V70" s="17">
        <v>84.2</v>
      </c>
      <c r="W70" s="17">
        <v>46.4</v>
      </c>
      <c r="X70" s="17">
        <v>1.7</v>
      </c>
      <c r="Y70" s="13">
        <v>13339</v>
      </c>
      <c r="Z70" s="13">
        <v>0.28000000000000003</v>
      </c>
      <c r="AA70" s="18">
        <v>31098406</v>
      </c>
      <c r="AB70" s="18">
        <f t="shared" si="52"/>
        <v>111954261.59999999</v>
      </c>
      <c r="AC70" s="18">
        <f t="shared" si="53"/>
        <v>656.22295843004849</v>
      </c>
      <c r="AD70" s="13">
        <f t="shared" si="54"/>
        <v>262145617.03730398</v>
      </c>
      <c r="AE70" s="13">
        <f t="shared" si="55"/>
        <v>58389795.294156998</v>
      </c>
      <c r="AF70" s="13">
        <f t="shared" si="70"/>
        <v>320535412.33146095</v>
      </c>
      <c r="AG70" s="30">
        <v>522.59</v>
      </c>
      <c r="AH70" s="30">
        <v>522.59</v>
      </c>
      <c r="AI70" s="13">
        <f t="shared" si="56"/>
        <v>426627.39088646584</v>
      </c>
      <c r="AJ70" s="36">
        <f t="shared" si="57"/>
        <v>9.0024771235802028</v>
      </c>
      <c r="AK70" s="13">
        <f t="shared" si="58"/>
        <v>558551.28704265726</v>
      </c>
      <c r="AL70" s="13">
        <f t="shared" si="59"/>
        <v>1049319.1755437851</v>
      </c>
      <c r="AM70" s="13">
        <f t="shared" si="63"/>
        <v>803935.23129322124</v>
      </c>
      <c r="AN70" s="36">
        <f t="shared" si="60"/>
        <v>12.957464598957506</v>
      </c>
      <c r="AO70" s="13">
        <f t="shared" si="61"/>
        <v>145.95682273551679</v>
      </c>
      <c r="AP70" s="13">
        <f t="shared" si="62"/>
        <v>363.08714117997096</v>
      </c>
      <c r="AQ70" s="13">
        <f t="shared" si="64"/>
        <v>522.59935944220956</v>
      </c>
      <c r="AR70" s="41" t="s">
        <v>130</v>
      </c>
      <c r="AS70" s="20">
        <f t="shared" si="46"/>
        <v>157634.6971892</v>
      </c>
      <c r="AT70" s="20">
        <f t="shared" si="47"/>
        <v>136214.24397469999</v>
      </c>
      <c r="AU70" s="20">
        <f t="shared" si="65"/>
        <v>7.8748619860672306</v>
      </c>
      <c r="AV70" s="20">
        <v>46</v>
      </c>
      <c r="AW70" s="20">
        <f t="shared" si="66"/>
        <v>0.97066891749314199</v>
      </c>
      <c r="AX70" s="14" t="s">
        <v>4</v>
      </c>
      <c r="AY70" s="21">
        <v>1.88</v>
      </c>
      <c r="AZ70" s="1">
        <v>422</v>
      </c>
      <c r="BA70" s="125">
        <f t="shared" si="67"/>
        <v>8.9048322430892585E-3</v>
      </c>
      <c r="BB70" s="1">
        <v>22</v>
      </c>
      <c r="BC70" s="127">
        <f t="shared" si="68"/>
        <v>4.6423296054019835E-4</v>
      </c>
    </row>
    <row r="71" spans="1:55">
      <c r="A71" s="10">
        <v>15104</v>
      </c>
      <c r="B71" s="10" t="s">
        <v>76</v>
      </c>
      <c r="C71" s="10">
        <v>83.7</v>
      </c>
      <c r="D71" s="11">
        <v>700734</v>
      </c>
      <c r="E71" s="11">
        <v>689325</v>
      </c>
      <c r="F71" s="11">
        <v>11306</v>
      </c>
      <c r="G71" s="11">
        <v>103</v>
      </c>
      <c r="H71" s="11">
        <v>784390.37574937835</v>
      </c>
      <c r="I71" s="11">
        <f t="shared" si="30"/>
        <v>824453.51494738273</v>
      </c>
      <c r="J71" s="13">
        <v>174.2</v>
      </c>
      <c r="K71" s="13">
        <v>155.4</v>
      </c>
      <c r="L71" s="13">
        <f t="shared" si="69"/>
        <v>173.95226204444683</v>
      </c>
      <c r="M71" s="13">
        <f t="shared" si="48"/>
        <v>182.83696270314167</v>
      </c>
      <c r="N71" s="13">
        <v>3021</v>
      </c>
      <c r="O71" s="13">
        <f t="shared" si="49"/>
        <v>3554.3787923178311</v>
      </c>
      <c r="P71" s="14">
        <v>185622.9</v>
      </c>
      <c r="Q71" s="14">
        <f t="shared" si="50"/>
        <v>0.26489780715649591</v>
      </c>
      <c r="R71" s="15">
        <f t="shared" si="51"/>
        <v>2217.7168458781362</v>
      </c>
      <c r="S71" s="24">
        <v>34.9</v>
      </c>
      <c r="T71" s="24">
        <v>4.5999999999999996</v>
      </c>
      <c r="U71" s="16">
        <v>46.8</v>
      </c>
      <c r="V71" s="17">
        <v>79.599999999999994</v>
      </c>
      <c r="W71" s="17">
        <v>28.3</v>
      </c>
      <c r="X71" s="17">
        <v>4.8</v>
      </c>
      <c r="Y71" s="13">
        <v>530282</v>
      </c>
      <c r="Z71" s="13">
        <v>0.75</v>
      </c>
      <c r="AA71" s="18">
        <v>1511313872</v>
      </c>
      <c r="AB71" s="18">
        <f t="shared" si="52"/>
        <v>5440729939.1999998</v>
      </c>
      <c r="AC71" s="18">
        <f t="shared" si="53"/>
        <v>2156.758302009036</v>
      </c>
      <c r="AD71" s="13">
        <f t="shared" si="54"/>
        <v>10421403560.519953</v>
      </c>
      <c r="AE71" s="13">
        <f t="shared" si="55"/>
        <v>2321242778.9321656</v>
      </c>
      <c r="AF71" s="13">
        <f t="shared" si="70"/>
        <v>12742646339.452118</v>
      </c>
      <c r="AG71" s="30">
        <v>248.55</v>
      </c>
      <c r="AH71" s="30">
        <v>112.55</v>
      </c>
      <c r="AI71" s="13">
        <f t="shared" si="56"/>
        <v>7657188.7446122961</v>
      </c>
      <c r="AJ71" s="36">
        <f t="shared" si="57"/>
        <v>10.927382922210562</v>
      </c>
      <c r="AK71" s="13">
        <f t="shared" si="58"/>
        <v>9009119.2593924999</v>
      </c>
      <c r="AL71" s="13">
        <f t="shared" si="59"/>
        <v>16924930.28472675</v>
      </c>
      <c r="AM71" s="13">
        <f t="shared" si="63"/>
        <v>12967024.772059625</v>
      </c>
      <c r="AN71" s="36">
        <f t="shared" si="60"/>
        <v>15.728024123818782</v>
      </c>
      <c r="AO71" s="13">
        <f t="shared" si="61"/>
        <v>121.03321270009658</v>
      </c>
      <c r="AP71" s="13">
        <f t="shared" si="62"/>
        <v>2534.6536724966222</v>
      </c>
      <c r="AQ71" s="13">
        <f t="shared" si="64"/>
        <v>3648.1831368354956</v>
      </c>
      <c r="AR71" s="20">
        <v>1497</v>
      </c>
      <c r="AS71" s="20">
        <f t="shared" si="46"/>
        <v>2330871.32095752</v>
      </c>
      <c r="AT71" s="20">
        <f t="shared" si="47"/>
        <v>2442785.0525205</v>
      </c>
      <c r="AU71" s="20">
        <f t="shared" si="65"/>
        <v>9.5507878706148084</v>
      </c>
      <c r="AV71" s="20">
        <v>608.84</v>
      </c>
      <c r="AW71" s="20">
        <f t="shared" si="66"/>
        <v>0.8688603664157869</v>
      </c>
      <c r="AX71" s="14" t="s">
        <v>4</v>
      </c>
      <c r="AY71" s="21">
        <v>2.1800000000000002</v>
      </c>
      <c r="AZ71" s="1">
        <v>6159</v>
      </c>
      <c r="BA71" s="125">
        <f t="shared" si="67"/>
        <v>8.7893551618731212E-3</v>
      </c>
      <c r="BB71" s="1">
        <v>848</v>
      </c>
      <c r="BC71" s="127">
        <f t="shared" si="68"/>
        <v>1.2101596326138022E-3</v>
      </c>
    </row>
    <row r="72" spans="1:55">
      <c r="A72" s="10">
        <v>15108</v>
      </c>
      <c r="B72" s="10" t="s">
        <v>77</v>
      </c>
      <c r="C72" s="10">
        <v>27.4</v>
      </c>
      <c r="D72" s="11">
        <v>150182</v>
      </c>
      <c r="E72" s="11">
        <v>147178</v>
      </c>
      <c r="F72" s="11">
        <v>0</v>
      </c>
      <c r="G72" s="11">
        <v>3004</v>
      </c>
      <c r="H72" s="11">
        <v>105571.87792166093</v>
      </c>
      <c r="I72" s="11">
        <f t="shared" si="30"/>
        <v>110964.01552473829</v>
      </c>
      <c r="J72" s="13">
        <v>109.4</v>
      </c>
      <c r="K72" s="13">
        <v>110.2</v>
      </c>
      <c r="L72" s="13">
        <f t="shared" si="69"/>
        <v>77.466147387616587</v>
      </c>
      <c r="M72" s="13">
        <f t="shared" si="48"/>
        <v>81.422770444035635</v>
      </c>
      <c r="N72" s="13">
        <v>2894</v>
      </c>
      <c r="O72" s="13">
        <f t="shared" si="49"/>
        <v>2138.2713036754913</v>
      </c>
      <c r="P72" s="14">
        <v>3990.7</v>
      </c>
      <c r="Q72" s="14">
        <f t="shared" si="50"/>
        <v>2.6572425457112036E-2</v>
      </c>
      <c r="R72" s="15">
        <f t="shared" si="51"/>
        <v>145.64598540145985</v>
      </c>
      <c r="S72" s="24">
        <v>40.700000000000003</v>
      </c>
      <c r="T72" s="24">
        <v>4.8</v>
      </c>
      <c r="U72" s="16">
        <v>50.4</v>
      </c>
      <c r="V72" s="17">
        <v>76.400000000000006</v>
      </c>
      <c r="W72" s="17">
        <v>34.4</v>
      </c>
      <c r="X72" s="17">
        <v>3.3</v>
      </c>
      <c r="Y72" s="13">
        <v>52607</v>
      </c>
      <c r="Z72" s="13">
        <v>0.35</v>
      </c>
      <c r="AA72" s="18">
        <v>63123654</v>
      </c>
      <c r="AB72" s="18">
        <f t="shared" si="52"/>
        <v>227245154.40000001</v>
      </c>
      <c r="AC72" s="18">
        <f t="shared" si="53"/>
        <v>420.31437855402112</v>
      </c>
      <c r="AD72" s="13">
        <f t="shared" si="54"/>
        <v>1033862694.016152</v>
      </c>
      <c r="AE72" s="13">
        <f t="shared" si="55"/>
        <v>230280527.85364097</v>
      </c>
      <c r="AF72" s="13">
        <f t="shared" si="70"/>
        <v>1264143221.8697929</v>
      </c>
      <c r="AG72" s="30" t="s">
        <v>130</v>
      </c>
      <c r="AH72" s="30" t="s">
        <v>130</v>
      </c>
      <c r="AI72" s="13">
        <f t="shared" si="56"/>
        <v>1631345.99136132</v>
      </c>
      <c r="AJ72" s="36">
        <f t="shared" si="57"/>
        <v>10.8624601574178</v>
      </c>
      <c r="AK72" s="13">
        <f t="shared" si="58"/>
        <v>1205342.1975445598</v>
      </c>
      <c r="AL72" s="13">
        <f t="shared" si="59"/>
        <v>2264409.2141873417</v>
      </c>
      <c r="AM72" s="13">
        <f t="shared" si="63"/>
        <v>1734875.7058659508</v>
      </c>
      <c r="AN72" s="36">
        <f t="shared" si="60"/>
        <v>15.63457935134997</v>
      </c>
      <c r="AO72" s="13">
        <f t="shared" si="61"/>
        <v>38.806189868879073</v>
      </c>
      <c r="AP72" s="13">
        <f t="shared" si="62"/>
        <v>563.69937503846575</v>
      </c>
      <c r="AQ72" s="13">
        <f t="shared" si="64"/>
        <v>811.34498830146549</v>
      </c>
      <c r="AR72" s="41" t="s">
        <v>130</v>
      </c>
      <c r="AS72" s="20">
        <f t="shared" si="46"/>
        <v>499554.63374695997</v>
      </c>
      <c r="AT72" s="20">
        <f t="shared" si="47"/>
        <v>520441.58325600001</v>
      </c>
      <c r="AU72" s="20">
        <f t="shared" si="65"/>
        <v>9.494262637242155</v>
      </c>
      <c r="AV72" s="20">
        <v>60</v>
      </c>
      <c r="AW72" s="20">
        <f t="shared" si="66"/>
        <v>0.39951525482414668</v>
      </c>
      <c r="AX72" s="14" t="s">
        <v>17</v>
      </c>
      <c r="AY72" s="21">
        <v>1.47</v>
      </c>
      <c r="AZ72" s="1">
        <v>981</v>
      </c>
      <c r="BA72" s="125">
        <f t="shared" si="67"/>
        <v>6.5320744163747989E-3</v>
      </c>
      <c r="BB72" s="1">
        <v>126</v>
      </c>
      <c r="BC72" s="127">
        <f t="shared" si="68"/>
        <v>8.3898203513070807E-4</v>
      </c>
    </row>
    <row r="73" spans="1:55">
      <c r="A73" s="10">
        <v>15109</v>
      </c>
      <c r="B73" s="10" t="s">
        <v>78</v>
      </c>
      <c r="C73" s="10">
        <v>71.099999999999994</v>
      </c>
      <c r="D73" s="11">
        <v>520557</v>
      </c>
      <c r="E73" s="11">
        <v>513745</v>
      </c>
      <c r="F73" s="11">
        <v>3567</v>
      </c>
      <c r="G73" s="11">
        <v>3245</v>
      </c>
      <c r="H73" s="11">
        <v>701529.14677799318</v>
      </c>
      <c r="I73" s="11">
        <f t="shared" si="30"/>
        <v>737360.1063712606</v>
      </c>
      <c r="J73" s="13">
        <v>169.9</v>
      </c>
      <c r="K73" s="13">
        <v>155.6</v>
      </c>
      <c r="L73" s="13">
        <f t="shared" si="69"/>
        <v>209.69449116745284</v>
      </c>
      <c r="M73" s="13">
        <f t="shared" si="48"/>
        <v>220.40474443983686</v>
      </c>
      <c r="N73" s="13">
        <v>2651</v>
      </c>
      <c r="O73" s="13">
        <f t="shared" si="49"/>
        <v>3755.096256491051</v>
      </c>
      <c r="P73" s="14">
        <v>59703.1</v>
      </c>
      <c r="Q73" s="14">
        <f t="shared" si="50"/>
        <v>0.11469080235209593</v>
      </c>
      <c r="R73" s="15">
        <f t="shared" si="51"/>
        <v>839.7060478199719</v>
      </c>
      <c r="S73" s="24">
        <v>36.4</v>
      </c>
      <c r="T73" s="24">
        <v>4.5999999999999996</v>
      </c>
      <c r="U73" s="16">
        <v>49.8</v>
      </c>
      <c r="V73" s="17">
        <v>76.599999999999994</v>
      </c>
      <c r="W73" s="17">
        <v>27.1</v>
      </c>
      <c r="X73" s="17">
        <v>2.2999999999999998</v>
      </c>
      <c r="Y73" s="13">
        <v>215555</v>
      </c>
      <c r="Z73" s="13">
        <v>0.41</v>
      </c>
      <c r="AA73" s="18">
        <v>883513526</v>
      </c>
      <c r="AB73" s="18">
        <f t="shared" si="52"/>
        <v>3180648693.5999999</v>
      </c>
      <c r="AC73" s="18">
        <f t="shared" si="53"/>
        <v>1697.2464610023494</v>
      </c>
      <c r="AD73" s="13">
        <f t="shared" si="54"/>
        <v>4236209496.9994798</v>
      </c>
      <c r="AE73" s="13">
        <f t="shared" si="55"/>
        <v>943564909.26096499</v>
      </c>
      <c r="AF73" s="13">
        <f t="shared" si="70"/>
        <v>5179774406.2604446</v>
      </c>
      <c r="AG73" s="30">
        <v>278.51</v>
      </c>
      <c r="AH73" s="30">
        <v>278.39999999999998</v>
      </c>
      <c r="AI73" s="13">
        <f t="shared" si="56"/>
        <v>5684181.2111068266</v>
      </c>
      <c r="AJ73" s="36">
        <f t="shared" si="57"/>
        <v>10.919421333507813</v>
      </c>
      <c r="AK73" s="13">
        <f t="shared" si="58"/>
        <v>8051545.6759879338</v>
      </c>
      <c r="AL73" s="13">
        <f t="shared" si="59"/>
        <v>15125990.158063237</v>
      </c>
      <c r="AM73" s="13">
        <f t="shared" si="63"/>
        <v>11588767.917025585</v>
      </c>
      <c r="AN73" s="36">
        <f t="shared" si="60"/>
        <v>15.716564832964592</v>
      </c>
      <c r="AO73" s="13">
        <f t="shared" si="61"/>
        <v>166.10675480414352</v>
      </c>
      <c r="AP73" s="13">
        <f t="shared" si="62"/>
        <v>2144.1649230882031</v>
      </c>
      <c r="AQ73" s="13">
        <f t="shared" si="64"/>
        <v>3086.1440361197842</v>
      </c>
      <c r="AR73" s="41" t="s">
        <v>130</v>
      </c>
      <c r="AS73" s="20">
        <f t="shared" si="46"/>
        <v>1731543.4704519599</v>
      </c>
      <c r="AT73" s="20">
        <f t="shared" si="47"/>
        <v>1813364.1984853998</v>
      </c>
      <c r="AU73" s="20">
        <f t="shared" si="65"/>
        <v>9.5438560844265297</v>
      </c>
      <c r="AV73" s="20">
        <v>480</v>
      </c>
      <c r="AW73" s="20">
        <f t="shared" si="66"/>
        <v>0.92208922365850421</v>
      </c>
      <c r="AX73" s="14" t="s">
        <v>17</v>
      </c>
      <c r="AY73" s="21">
        <v>1.5</v>
      </c>
      <c r="AZ73" s="1">
        <v>3181</v>
      </c>
      <c r="BA73" s="125">
        <f t="shared" si="67"/>
        <v>6.1107621259535458E-3</v>
      </c>
      <c r="BB73" s="1">
        <v>567</v>
      </c>
      <c r="BC73" s="127">
        <f t="shared" si="68"/>
        <v>1.0892178954466081E-3</v>
      </c>
    </row>
    <row r="74" spans="1:55">
      <c r="A74" s="10">
        <v>15112</v>
      </c>
      <c r="B74" s="10" t="s">
        <v>79</v>
      </c>
      <c r="C74" s="10">
        <v>303.31</v>
      </c>
      <c r="D74" s="11">
        <v>47151</v>
      </c>
      <c r="E74" s="11">
        <v>0</v>
      </c>
      <c r="F74" s="11">
        <v>17986</v>
      </c>
      <c r="G74" s="11">
        <v>29165</v>
      </c>
      <c r="H74" s="11">
        <v>62229.281448711663</v>
      </c>
      <c r="I74" s="11">
        <f t="shared" si="30"/>
        <v>65407.673792561749</v>
      </c>
      <c r="J74" s="13">
        <v>18.8</v>
      </c>
      <c r="K74" s="13">
        <v>21.6</v>
      </c>
      <c r="L74" s="13">
        <f t="shared" si="69"/>
        <v>28.507401312637526</v>
      </c>
      <c r="M74" s="13">
        <f t="shared" si="48"/>
        <v>29.963431399532013</v>
      </c>
      <c r="N74" s="13">
        <v>1192</v>
      </c>
      <c r="O74" s="13">
        <f t="shared" si="49"/>
        <v>1653.5375105667665</v>
      </c>
      <c r="P74" s="14">
        <v>676.7</v>
      </c>
      <c r="Q74" s="14">
        <f t="shared" si="50"/>
        <v>1.4351763483277132E-2</v>
      </c>
      <c r="R74" s="15">
        <f t="shared" si="51"/>
        <v>2.2310507401668263</v>
      </c>
      <c r="S74" s="24">
        <v>71.7</v>
      </c>
      <c r="T74" s="24">
        <v>3.7</v>
      </c>
      <c r="U74" s="16">
        <v>78.900000000000006</v>
      </c>
      <c r="V74" s="17">
        <v>91.7</v>
      </c>
      <c r="W74" s="17">
        <v>92.9</v>
      </c>
      <c r="X74" s="17">
        <v>1.6</v>
      </c>
      <c r="Y74" s="13">
        <v>7956</v>
      </c>
      <c r="Z74" s="13">
        <v>0.16</v>
      </c>
      <c r="AA74" s="18">
        <v>13103529</v>
      </c>
      <c r="AB74" s="18">
        <f t="shared" si="52"/>
        <v>47172704.399999999</v>
      </c>
      <c r="AC74" s="18">
        <f t="shared" si="53"/>
        <v>277.90564357065597</v>
      </c>
      <c r="AD74" s="13">
        <f t="shared" si="54"/>
        <v>156355838.45481598</v>
      </c>
      <c r="AE74" s="13">
        <f t="shared" si="55"/>
        <v>34826389.636427999</v>
      </c>
      <c r="AF74" s="13">
        <f t="shared" si="70"/>
        <v>191182228.09124398</v>
      </c>
      <c r="AG74" s="30" t="s">
        <v>130</v>
      </c>
      <c r="AH74" s="30" t="s">
        <v>130</v>
      </c>
      <c r="AI74" s="13">
        <f t="shared" si="56"/>
        <v>307216.52213785262</v>
      </c>
      <c r="AJ74" s="36">
        <f t="shared" si="57"/>
        <v>6.5155886860904886</v>
      </c>
      <c r="AK74" s="13">
        <f t="shared" si="58"/>
        <v>426169.49934631272</v>
      </c>
      <c r="AL74" s="13">
        <f t="shared" si="59"/>
        <v>800620.88848401175</v>
      </c>
      <c r="AM74" s="13">
        <f t="shared" si="63"/>
        <v>613395.19391516224</v>
      </c>
      <c r="AN74" s="36">
        <f t="shared" si="60"/>
        <v>9.378031022178293</v>
      </c>
      <c r="AO74" s="13">
        <f t="shared" si="61"/>
        <v>160.60476269722278</v>
      </c>
      <c r="AP74" s="13">
        <f t="shared" si="62"/>
        <v>257.73198165927232</v>
      </c>
      <c r="AQ74" s="13">
        <f t="shared" si="64"/>
        <v>370.95934624725561</v>
      </c>
      <c r="AR74" s="41" t="s">
        <v>130</v>
      </c>
      <c r="AS74" s="20">
        <f t="shared" si="46"/>
        <v>156839.70473027998</v>
      </c>
      <c r="AT74" s="20">
        <f t="shared" si="47"/>
        <v>98263.628321700002</v>
      </c>
      <c r="AU74" s="20">
        <f t="shared" si="65"/>
        <v>5.7096439112521908</v>
      </c>
      <c r="AV74" s="20">
        <v>25</v>
      </c>
      <c r="AW74" s="20">
        <f t="shared" si="66"/>
        <v>0.53021144832559219</v>
      </c>
      <c r="AX74" s="14" t="s">
        <v>13</v>
      </c>
      <c r="AY74" s="21">
        <v>1.53</v>
      </c>
      <c r="AZ74" s="1">
        <v>144</v>
      </c>
      <c r="BA74" s="125">
        <f t="shared" si="67"/>
        <v>3.0540179423554112E-3</v>
      </c>
      <c r="BB74" s="1">
        <v>10</v>
      </c>
      <c r="BC74" s="127">
        <f t="shared" si="68"/>
        <v>2.1208457933023691E-4</v>
      </c>
    </row>
    <row r="75" spans="1:55">
      <c r="A75" s="10">
        <v>15120</v>
      </c>
      <c r="B75" s="10" t="s">
        <v>80</v>
      </c>
      <c r="C75" s="10">
        <v>244.08</v>
      </c>
      <c r="D75" s="11">
        <v>199069</v>
      </c>
      <c r="E75" s="11">
        <v>87712</v>
      </c>
      <c r="F75" s="11">
        <v>84980</v>
      </c>
      <c r="G75" s="11">
        <v>26377</v>
      </c>
      <c r="H75" s="11">
        <v>232404.44194973973</v>
      </c>
      <c r="I75" s="11">
        <f t="shared" si="30"/>
        <v>244274.61756117764</v>
      </c>
      <c r="J75" s="13">
        <v>35.6</v>
      </c>
      <c r="K75" s="13">
        <v>45</v>
      </c>
      <c r="L75" s="13">
        <f t="shared" si="69"/>
        <v>52.535552435277658</v>
      </c>
      <c r="M75" s="13">
        <f t="shared" si="48"/>
        <v>55.218832617097554</v>
      </c>
      <c r="N75" s="13">
        <v>4560</v>
      </c>
      <c r="O75" s="13">
        <f t="shared" si="49"/>
        <v>5595.5083718658861</v>
      </c>
      <c r="P75" s="14">
        <v>3818.7</v>
      </c>
      <c r="Q75" s="14">
        <f t="shared" si="50"/>
        <v>1.9182795914984251E-2</v>
      </c>
      <c r="R75" s="15">
        <f t="shared" si="51"/>
        <v>15.645280235988199</v>
      </c>
      <c r="S75" s="24">
        <v>46.9</v>
      </c>
      <c r="T75" s="24">
        <v>4.2</v>
      </c>
      <c r="U75" s="16">
        <v>58.7</v>
      </c>
      <c r="V75" s="17">
        <v>74.7</v>
      </c>
      <c r="W75" s="17">
        <v>41.1</v>
      </c>
      <c r="X75" s="17">
        <v>2.2000000000000002</v>
      </c>
      <c r="Y75" s="13">
        <v>67382</v>
      </c>
      <c r="Z75" s="13">
        <v>0.33</v>
      </c>
      <c r="AA75" s="18">
        <v>138237567</v>
      </c>
      <c r="AB75" s="18">
        <f t="shared" si="52"/>
        <v>497655241.19999999</v>
      </c>
      <c r="AC75" s="18">
        <f t="shared" si="53"/>
        <v>694.42036178410501</v>
      </c>
      <c r="AD75" s="13">
        <f t="shared" si="54"/>
        <v>1324229400.045552</v>
      </c>
      <c r="AE75" s="13">
        <f t="shared" si="55"/>
        <v>294956232.58946598</v>
      </c>
      <c r="AF75" s="13">
        <f t="shared" si="70"/>
        <v>1619185632.6350179</v>
      </c>
      <c r="AG75" s="30">
        <v>124.47</v>
      </c>
      <c r="AH75" s="30">
        <v>117.08</v>
      </c>
      <c r="AI75" s="13">
        <f t="shared" si="56"/>
        <v>1805026.8475152904</v>
      </c>
      <c r="AJ75" s="36">
        <f t="shared" si="57"/>
        <v>9.0673427179284083</v>
      </c>
      <c r="AK75" s="13">
        <f t="shared" si="58"/>
        <v>2214921.6747180908</v>
      </c>
      <c r="AL75" s="13">
        <f t="shared" si="59"/>
        <v>4161049.9152457379</v>
      </c>
      <c r="AM75" s="13">
        <f t="shared" si="63"/>
        <v>3187985.7949819146</v>
      </c>
      <c r="AN75" s="36">
        <f t="shared" si="60"/>
        <v>13.050827084739968</v>
      </c>
      <c r="AO75" s="13">
        <f t="shared" si="61"/>
        <v>130.52565234548345</v>
      </c>
      <c r="AP75" s="13">
        <f t="shared" si="62"/>
        <v>395.83922094633562</v>
      </c>
      <c r="AQ75" s="13">
        <f t="shared" si="64"/>
        <v>569.74015283598692</v>
      </c>
      <c r="AR75" s="41" t="s">
        <v>130</v>
      </c>
      <c r="AS75" s="20">
        <f t="shared" si="46"/>
        <v>662168.84437131998</v>
      </c>
      <c r="AT75" s="20">
        <f t="shared" si="47"/>
        <v>576292.44627309998</v>
      </c>
      <c r="AU75" s="20">
        <f t="shared" si="65"/>
        <v>7.9313374480549408</v>
      </c>
      <c r="AV75" s="20">
        <v>110</v>
      </c>
      <c r="AW75" s="20">
        <f t="shared" si="66"/>
        <v>0.55257222370132963</v>
      </c>
      <c r="AX75" s="14" t="s">
        <v>17</v>
      </c>
      <c r="AY75" s="21">
        <v>2.0499999999999998</v>
      </c>
      <c r="AZ75" s="1">
        <v>1337</v>
      </c>
      <c r="BA75" s="125">
        <f t="shared" si="67"/>
        <v>6.7162642098970706E-3</v>
      </c>
      <c r="BB75" s="1">
        <v>222</v>
      </c>
      <c r="BC75" s="127">
        <f t="shared" si="68"/>
        <v>1.1151912151063199E-3</v>
      </c>
    </row>
    <row r="76" spans="1:55">
      <c r="A76" s="10">
        <v>15121</v>
      </c>
      <c r="B76" s="10" t="s">
        <v>81</v>
      </c>
      <c r="C76" s="10">
        <v>110.3</v>
      </c>
      <c r="D76" s="11">
        <v>531041</v>
      </c>
      <c r="E76" s="11">
        <v>520971</v>
      </c>
      <c r="F76" s="11">
        <v>4225</v>
      </c>
      <c r="G76" s="11">
        <v>5845</v>
      </c>
      <c r="H76" s="11">
        <v>640247.19535462128</v>
      </c>
      <c r="I76" s="11">
        <f t="shared" si="30"/>
        <v>672948.14796908782</v>
      </c>
      <c r="J76" s="13">
        <v>147.4</v>
      </c>
      <c r="K76" s="13">
        <v>126.5</v>
      </c>
      <c r="L76" s="13">
        <f t="shared" si="69"/>
        <v>152.5141565573272</v>
      </c>
      <c r="M76" s="13">
        <f t="shared" si="48"/>
        <v>160.30389502522331</v>
      </c>
      <c r="N76" s="13">
        <v>2122</v>
      </c>
      <c r="O76" s="13">
        <f t="shared" si="49"/>
        <v>2689.0503181306235</v>
      </c>
      <c r="P76" s="14">
        <v>84441.4</v>
      </c>
      <c r="Q76" s="14">
        <f t="shared" si="50"/>
        <v>0.1590110744744756</v>
      </c>
      <c r="R76" s="15">
        <f t="shared" si="51"/>
        <v>765.561196736174</v>
      </c>
      <c r="S76" s="24">
        <v>27.7</v>
      </c>
      <c r="T76" s="24">
        <v>4.7</v>
      </c>
      <c r="U76" s="16">
        <v>42.9</v>
      </c>
      <c r="V76" s="17">
        <v>75.900000000000006</v>
      </c>
      <c r="W76" s="17">
        <v>17.3</v>
      </c>
      <c r="X76" s="17">
        <v>5</v>
      </c>
      <c r="Y76" s="13">
        <v>333822</v>
      </c>
      <c r="Z76" s="13">
        <v>0.62</v>
      </c>
      <c r="AA76" s="18">
        <v>1131361144</v>
      </c>
      <c r="AB76" s="18">
        <f t="shared" si="52"/>
        <v>4072900118.3999996</v>
      </c>
      <c r="AC76" s="18">
        <f t="shared" si="53"/>
        <v>2130.4591246250288</v>
      </c>
      <c r="AD76" s="13">
        <f t="shared" si="54"/>
        <v>6560459867.3533916</v>
      </c>
      <c r="AE76" s="13">
        <f t="shared" si="55"/>
        <v>1461263831.223186</v>
      </c>
      <c r="AF76" s="13">
        <f t="shared" si="70"/>
        <v>8021723698.5765781</v>
      </c>
      <c r="AG76" s="30">
        <v>269.45999999999998</v>
      </c>
      <c r="AH76" s="30">
        <v>75.02</v>
      </c>
      <c r="AI76" s="13">
        <f t="shared" si="56"/>
        <v>5783086.8396624904</v>
      </c>
      <c r="AJ76" s="36">
        <f t="shared" si="57"/>
        <v>10.89009481313588</v>
      </c>
      <c r="AK76" s="13">
        <f t="shared" si="58"/>
        <v>7328469.13570756</v>
      </c>
      <c r="AL76" s="13">
        <f t="shared" si="59"/>
        <v>13767586.558065608</v>
      </c>
      <c r="AM76" s="13">
        <f t="shared" si="63"/>
        <v>10548027.846886585</v>
      </c>
      <c r="AN76" s="36">
        <f t="shared" si="60"/>
        <v>15.674354523033939</v>
      </c>
      <c r="AO76" s="13">
        <f t="shared" si="61"/>
        <v>138.0663984438647</v>
      </c>
      <c r="AP76" s="13">
        <f t="shared" si="62"/>
        <v>2725.3001129417958</v>
      </c>
      <c r="AQ76" s="13">
        <f t="shared" si="64"/>
        <v>3922.584778636412</v>
      </c>
      <c r="AR76" s="41" t="s">
        <v>130</v>
      </c>
      <c r="AS76" s="20">
        <f t="shared" si="46"/>
        <v>1766416.69613948</v>
      </c>
      <c r="AT76" s="20">
        <f t="shared" si="47"/>
        <v>1844936.1843951999</v>
      </c>
      <c r="AU76" s="20">
        <f t="shared" si="65"/>
        <v>9.5183228475287596</v>
      </c>
      <c r="AV76" s="20">
        <v>200</v>
      </c>
      <c r="AW76" s="20">
        <f t="shared" si="66"/>
        <v>0.37661875448411702</v>
      </c>
      <c r="AX76" s="14" t="s">
        <v>4</v>
      </c>
      <c r="AY76" s="21">
        <v>1.75</v>
      </c>
      <c r="AZ76" s="34">
        <v>2569</v>
      </c>
      <c r="BA76" s="125">
        <f t="shared" si="67"/>
        <v>4.8376679013484832E-3</v>
      </c>
      <c r="BB76" s="1">
        <v>467</v>
      </c>
      <c r="BC76" s="127">
        <f t="shared" si="68"/>
        <v>8.7940479172041327E-4</v>
      </c>
    </row>
    <row r="77" spans="1:55">
      <c r="A77" s="10">
        <v>15122</v>
      </c>
      <c r="B77" s="10" t="s">
        <v>82</v>
      </c>
      <c r="C77" s="10">
        <v>46.36</v>
      </c>
      <c r="D77" s="11">
        <v>396157</v>
      </c>
      <c r="E77" s="11">
        <v>394725</v>
      </c>
      <c r="F77" s="11">
        <v>0</v>
      </c>
      <c r="G77" s="11">
        <v>1432</v>
      </c>
      <c r="H77" s="11">
        <v>480544.3753419905</v>
      </c>
      <c r="I77" s="11">
        <f t="shared" si="30"/>
        <v>505088.42482978723</v>
      </c>
      <c r="J77" s="13">
        <v>146.9</v>
      </c>
      <c r="K77" s="13">
        <v>158.69999999999999</v>
      </c>
      <c r="L77" s="13">
        <f t="shared" si="69"/>
        <v>192.50547728999837</v>
      </c>
      <c r="M77" s="13">
        <f t="shared" si="48"/>
        <v>202.33779289647092</v>
      </c>
      <c r="N77" s="13">
        <v>3768</v>
      </c>
      <c r="O77" s="13">
        <f t="shared" si="49"/>
        <v>4804.0882396591214</v>
      </c>
      <c r="P77" s="14">
        <v>5654.8</v>
      </c>
      <c r="Q77" s="14">
        <f t="shared" si="50"/>
        <v>1.4274138788409645E-2</v>
      </c>
      <c r="R77" s="15">
        <f t="shared" si="51"/>
        <v>121.9758412424504</v>
      </c>
      <c r="S77" s="24">
        <v>59</v>
      </c>
      <c r="T77" s="24">
        <v>5</v>
      </c>
      <c r="U77" s="16">
        <v>67.599999999999994</v>
      </c>
      <c r="V77" s="17">
        <v>66.7</v>
      </c>
      <c r="W77" s="17">
        <v>53.9</v>
      </c>
      <c r="X77" s="17">
        <v>1.9</v>
      </c>
      <c r="Y77" s="13">
        <v>103160</v>
      </c>
      <c r="Z77" s="13">
        <v>0.26</v>
      </c>
      <c r="AA77" s="18">
        <v>129664395</v>
      </c>
      <c r="AB77" s="18">
        <f t="shared" si="52"/>
        <v>466791821.99999994</v>
      </c>
      <c r="AC77" s="18">
        <f t="shared" si="53"/>
        <v>327.30557581968765</v>
      </c>
      <c r="AD77" s="13">
        <f t="shared" si="54"/>
        <v>2027359011.4377599</v>
      </c>
      <c r="AE77" s="13">
        <f t="shared" si="55"/>
        <v>451569928.97107995</v>
      </c>
      <c r="AF77" s="13">
        <f t="shared" si="70"/>
        <v>2478928940.4088397</v>
      </c>
      <c r="AG77" s="30">
        <v>338.21</v>
      </c>
      <c r="AH77" s="30">
        <v>169.11</v>
      </c>
      <c r="AI77" s="13">
        <f t="shared" si="56"/>
        <v>4338994.5429950906</v>
      </c>
      <c r="AJ77" s="36">
        <f t="shared" si="57"/>
        <v>10.952714562648371</v>
      </c>
      <c r="AK77" s="13">
        <f t="shared" si="58"/>
        <v>5532089.3460583379</v>
      </c>
      <c r="AL77" s="13">
        <f t="shared" si="59"/>
        <v>10392827.95743905</v>
      </c>
      <c r="AM77" s="13">
        <f t="shared" si="63"/>
        <v>7962458.6517486945</v>
      </c>
      <c r="AN77" s="36">
        <f t="shared" si="60"/>
        <v>15.764484514631297</v>
      </c>
      <c r="AO77" s="13">
        <f t="shared" si="61"/>
        <v>139.52157243934127</v>
      </c>
      <c r="AP77" s="13">
        <f t="shared" si="62"/>
        <v>1151.5378298819242</v>
      </c>
      <c r="AQ77" s="13">
        <f t="shared" si="64"/>
        <v>1657.4338884986173</v>
      </c>
      <c r="AR77" s="41" t="s">
        <v>130</v>
      </c>
      <c r="AS77" s="20">
        <f t="shared" si="46"/>
        <v>1317748.23241996</v>
      </c>
      <c r="AT77" s="20">
        <f t="shared" si="47"/>
        <v>1384207.2916621999</v>
      </c>
      <c r="AU77" s="20">
        <f t="shared" si="65"/>
        <v>9.5728429493357421</v>
      </c>
      <c r="AV77" s="20">
        <v>500</v>
      </c>
      <c r="AW77" s="20">
        <f t="shared" si="66"/>
        <v>1.2621258743376995</v>
      </c>
      <c r="AX77" s="14" t="s">
        <v>13</v>
      </c>
      <c r="AY77" s="21">
        <v>1.66</v>
      </c>
      <c r="AZ77" s="1">
        <v>1168</v>
      </c>
      <c r="BA77" s="125">
        <f t="shared" si="67"/>
        <v>2.9483260424528661E-3</v>
      </c>
      <c r="BB77" s="1">
        <v>221</v>
      </c>
      <c r="BC77" s="127">
        <f t="shared" si="68"/>
        <v>5.5785963645726315E-4</v>
      </c>
    </row>
    <row r="78" spans="1:55">
      <c r="A78" s="10">
        <v>15125</v>
      </c>
      <c r="B78" s="10" t="s">
        <v>83</v>
      </c>
      <c r="C78" s="10">
        <v>18.38</v>
      </c>
      <c r="D78" s="11">
        <v>9728</v>
      </c>
      <c r="E78" s="11">
        <v>0</v>
      </c>
      <c r="F78" s="11">
        <v>9194</v>
      </c>
      <c r="G78" s="11">
        <v>534</v>
      </c>
      <c r="H78" s="11">
        <v>14954.704167602109</v>
      </c>
      <c r="I78" s="11">
        <f t="shared" si="30"/>
        <v>15718.523323541174</v>
      </c>
      <c r="J78" s="30" t="s">
        <v>215</v>
      </c>
      <c r="K78" s="13">
        <v>56.4</v>
      </c>
      <c r="L78" s="13">
        <f t="shared" si="69"/>
        <v>86.702848998022105</v>
      </c>
      <c r="M78" s="13">
        <f t="shared" si="48"/>
        <v>91.13124130835962</v>
      </c>
      <c r="N78" s="13">
        <v>1067</v>
      </c>
      <c r="O78" s="13">
        <f t="shared" si="49"/>
        <v>1724.0608949648881</v>
      </c>
      <c r="P78" s="14">
        <v>40.200000000000003</v>
      </c>
      <c r="Q78" s="14">
        <f t="shared" si="50"/>
        <v>4.1324013157894744E-3</v>
      </c>
      <c r="R78" s="15">
        <f t="shared" si="51"/>
        <v>2.1871599564744288</v>
      </c>
      <c r="S78" s="24">
        <v>49.6</v>
      </c>
      <c r="T78" s="24">
        <v>4</v>
      </c>
      <c r="U78" s="16">
        <v>60.6</v>
      </c>
      <c r="V78" s="17">
        <v>72.3</v>
      </c>
      <c r="W78" s="17">
        <v>60</v>
      </c>
      <c r="X78" s="17">
        <v>1.8</v>
      </c>
      <c r="Y78" s="13">
        <v>2033</v>
      </c>
      <c r="Z78" s="13">
        <v>0.21</v>
      </c>
      <c r="AA78" s="18">
        <v>14532690</v>
      </c>
      <c r="AB78" s="18">
        <f t="shared" si="52"/>
        <v>52317684</v>
      </c>
      <c r="AC78" s="18">
        <f t="shared" si="53"/>
        <v>1493.903166118421</v>
      </c>
      <c r="AD78" s="13">
        <f t="shared" si="54"/>
        <v>39953672.646888003</v>
      </c>
      <c r="AE78" s="13">
        <f t="shared" si="55"/>
        <v>8899201.8766789995</v>
      </c>
      <c r="AF78" s="13">
        <f t="shared" si="70"/>
        <v>48852874.523567006</v>
      </c>
      <c r="AG78" s="30" t="s">
        <v>130</v>
      </c>
      <c r="AH78" s="30" t="s">
        <v>130</v>
      </c>
      <c r="AI78" s="13">
        <f t="shared" si="56"/>
        <v>78482.902230979947</v>
      </c>
      <c r="AJ78" s="36">
        <f t="shared" si="57"/>
        <v>8.0677325484148792</v>
      </c>
      <c r="AK78" s="13">
        <f t="shared" si="58"/>
        <v>126812.84223035155</v>
      </c>
      <c r="AL78" s="13">
        <f t="shared" si="59"/>
        <v>238236.21956376242</v>
      </c>
      <c r="AM78" s="13">
        <f t="shared" si="63"/>
        <v>182524.53089705697</v>
      </c>
      <c r="AN78" s="36">
        <f t="shared" si="60"/>
        <v>11.61206604081538</v>
      </c>
      <c r="AO78" s="13">
        <f t="shared" si="61"/>
        <v>203.55174540133436</v>
      </c>
      <c r="AP78" s="13">
        <f t="shared" si="62"/>
        <v>73.554734986860311</v>
      </c>
      <c r="AQ78" s="13">
        <f t="shared" si="64"/>
        <v>105.86895824278541</v>
      </c>
      <c r="AR78" s="41" t="s">
        <v>130</v>
      </c>
      <c r="AS78" s="20">
        <f t="shared" si="46"/>
        <v>32358.52150784</v>
      </c>
      <c r="AT78" s="20">
        <f t="shared" si="47"/>
        <v>25071.7171672</v>
      </c>
      <c r="AU78" s="20">
        <f t="shared" si="65"/>
        <v>7.0610234451604175</v>
      </c>
      <c r="AV78" s="20">
        <v>10</v>
      </c>
      <c r="AW78" s="20">
        <f t="shared" si="66"/>
        <v>1.0279605263157894</v>
      </c>
      <c r="AX78" s="14" t="s">
        <v>17</v>
      </c>
      <c r="AY78" s="21">
        <v>1.02</v>
      </c>
      <c r="AZ78" s="1">
        <v>48</v>
      </c>
      <c r="BA78" s="125">
        <f t="shared" si="67"/>
        <v>4.9342105263157892E-3</v>
      </c>
      <c r="BB78" s="1">
        <v>8</v>
      </c>
      <c r="BC78" s="127">
        <f t="shared" si="68"/>
        <v>8.2236842105263153E-4</v>
      </c>
    </row>
    <row r="79" spans="1:55" s="42" customFormat="1">
      <c r="A79" s="350" t="s">
        <v>93</v>
      </c>
      <c r="B79" s="350"/>
      <c r="C79" s="350"/>
      <c r="D79" s="54" t="s">
        <v>84</v>
      </c>
      <c r="E79" s="54" t="s">
        <v>133</v>
      </c>
      <c r="F79" s="54" t="s">
        <v>133</v>
      </c>
      <c r="G79" s="54" t="s">
        <v>133</v>
      </c>
      <c r="H79" s="54" t="s">
        <v>142</v>
      </c>
      <c r="I79" s="55" t="s">
        <v>145</v>
      </c>
      <c r="J79" s="56" t="s">
        <v>154</v>
      </c>
      <c r="K79" s="49" t="s">
        <v>145</v>
      </c>
      <c r="L79" s="49" t="s">
        <v>145</v>
      </c>
      <c r="M79" s="49" t="s">
        <v>145</v>
      </c>
      <c r="N79" s="56" t="s">
        <v>166</v>
      </c>
      <c r="O79" s="49" t="s">
        <v>145</v>
      </c>
      <c r="P79" s="56" t="s">
        <v>165</v>
      </c>
      <c r="Q79" s="49" t="s">
        <v>145</v>
      </c>
      <c r="R79" s="49" t="s">
        <v>145</v>
      </c>
      <c r="S79" s="56" t="s">
        <v>85</v>
      </c>
      <c r="T79" s="56" t="s">
        <v>174</v>
      </c>
      <c r="U79" s="56" t="s">
        <v>174</v>
      </c>
      <c r="V79" s="56" t="s">
        <v>174</v>
      </c>
      <c r="W79" s="56" t="s">
        <v>174</v>
      </c>
      <c r="X79" s="56" t="s">
        <v>174</v>
      </c>
      <c r="Y79" s="56" t="s">
        <v>174</v>
      </c>
      <c r="Z79" s="56" t="s">
        <v>174</v>
      </c>
      <c r="AA79" s="56" t="s">
        <v>190</v>
      </c>
      <c r="AB79" s="56" t="s">
        <v>190</v>
      </c>
      <c r="AC79" s="56" t="s">
        <v>190</v>
      </c>
      <c r="AD79" s="56" t="s">
        <v>189</v>
      </c>
      <c r="AE79" s="56" t="s">
        <v>189</v>
      </c>
      <c r="AF79" s="56" t="s">
        <v>189</v>
      </c>
      <c r="AG79" s="56" t="s">
        <v>207</v>
      </c>
      <c r="AH79" s="56" t="s">
        <v>207</v>
      </c>
      <c r="AI79" s="49" t="s">
        <v>145</v>
      </c>
      <c r="AJ79" s="49" t="s">
        <v>145</v>
      </c>
      <c r="AK79" s="49" t="s">
        <v>145</v>
      </c>
      <c r="AL79" s="49" t="s">
        <v>145</v>
      </c>
      <c r="AM79" s="49" t="s">
        <v>145</v>
      </c>
      <c r="AN79" s="49" t="s">
        <v>145</v>
      </c>
      <c r="AO79" s="49" t="s">
        <v>145</v>
      </c>
      <c r="AP79" s="49" t="s">
        <v>145</v>
      </c>
      <c r="AQ79" s="49" t="s">
        <v>145</v>
      </c>
      <c r="AR79" s="56" t="s">
        <v>191</v>
      </c>
      <c r="AS79" s="56" t="s">
        <v>191</v>
      </c>
      <c r="AT79" s="57" t="s">
        <v>145</v>
      </c>
      <c r="AU79" s="57" t="s">
        <v>145</v>
      </c>
      <c r="AV79" s="56" t="s">
        <v>166</v>
      </c>
      <c r="AW79" s="123" t="s">
        <v>145</v>
      </c>
      <c r="AX79" s="56" t="s">
        <v>166</v>
      </c>
      <c r="AY79" s="56" t="s">
        <v>166</v>
      </c>
      <c r="AZ79" s="56" t="s">
        <v>252</v>
      </c>
      <c r="BA79" s="123" t="s">
        <v>145</v>
      </c>
      <c r="BB79" s="56" t="s">
        <v>252</v>
      </c>
      <c r="BC79" s="49" t="s">
        <v>145</v>
      </c>
    </row>
    <row r="80" spans="1:55">
      <c r="D80" s="4">
        <f>SUM(D3:D78)</f>
        <v>20893724</v>
      </c>
      <c r="I80" s="2">
        <f>SUM(I3:I78)</f>
        <v>23265342.230730277</v>
      </c>
      <c r="T80" s="53"/>
      <c r="AJ80" s="2">
        <f>AVERAGE(AJ3:AJ78)</f>
        <v>9.4728906955909675</v>
      </c>
      <c r="AN80" s="2">
        <f>AVERAGE(AN3:AN78)</f>
        <v>13.634541266026508</v>
      </c>
      <c r="AU80" s="2"/>
    </row>
    <row r="81" spans="1:52">
      <c r="AT81" s="2"/>
      <c r="AU81" s="2"/>
      <c r="AV81" s="2"/>
      <c r="AW81" s="264"/>
      <c r="AZ81" s="129"/>
    </row>
    <row r="82" spans="1:52" ht="31.5">
      <c r="A82" s="43" t="s">
        <v>134</v>
      </c>
      <c r="B82" t="s">
        <v>137</v>
      </c>
      <c r="AT82" s="2"/>
      <c r="AU82" s="1"/>
      <c r="AV82" s="266" t="s">
        <v>391</v>
      </c>
      <c r="AW82" s="266" t="s">
        <v>392</v>
      </c>
    </row>
    <row r="83" spans="1:52" ht="30.95" customHeight="1">
      <c r="A83" s="357" t="s">
        <v>135</v>
      </c>
      <c r="B83" t="s">
        <v>140</v>
      </c>
      <c r="D83" s="39"/>
      <c r="E83" s="37"/>
      <c r="F83" s="37"/>
      <c r="G83" s="37"/>
      <c r="H83" s="38"/>
      <c r="AU83" s="1" t="s">
        <v>385</v>
      </c>
      <c r="AV83" s="34">
        <f>SUM(AV3:AV78)</f>
        <v>23210.22</v>
      </c>
      <c r="AW83" s="34">
        <f>(AV83*1000)/D80</f>
        <v>1.1108704221420749</v>
      </c>
    </row>
    <row r="84" spans="1:52">
      <c r="A84" s="357"/>
      <c r="B84" t="s">
        <v>139</v>
      </c>
      <c r="D84" s="37"/>
      <c r="E84" s="37"/>
      <c r="F84" s="37"/>
      <c r="G84" s="37"/>
      <c r="H84" s="38"/>
      <c r="AU84" s="1" t="s">
        <v>383</v>
      </c>
      <c r="AV84" s="265">
        <f>(AV83/D80)*I80</f>
        <v>25844.780545131183</v>
      </c>
      <c r="AW84" s="267">
        <f>(AV84*1000)/I80</f>
        <v>1.1108704221420749</v>
      </c>
    </row>
    <row r="85" spans="1:52">
      <c r="A85" s="357"/>
      <c r="B85" t="s">
        <v>136</v>
      </c>
      <c r="D85" s="3"/>
      <c r="E85" s="3"/>
      <c r="F85" s="3"/>
      <c r="G85" s="3"/>
      <c r="H85" s="38"/>
      <c r="AU85" s="1" t="s">
        <v>384</v>
      </c>
      <c r="AV85" s="34">
        <f>AV84*(1+AL129)</f>
        <v>48553.148910130374</v>
      </c>
      <c r="AW85" s="274">
        <f>(AV85*1000)/I80</f>
        <v>2.0869303545424933</v>
      </c>
    </row>
    <row r="86" spans="1:52" ht="31.5">
      <c r="A86" s="357"/>
      <c r="B86" t="s">
        <v>138</v>
      </c>
      <c r="AU86" s="268" t="s">
        <v>393</v>
      </c>
      <c r="AV86" s="272">
        <f>AVERAGE(AV84:AV85)</f>
        <v>37198.964727630781</v>
      </c>
      <c r="AW86" s="270">
        <f>AVERAGE(AW84:AW85)</f>
        <v>1.5989003883422841</v>
      </c>
      <c r="AX86" s="310"/>
    </row>
    <row r="87" spans="1:52">
      <c r="A87" t="s">
        <v>141</v>
      </c>
      <c r="B87" t="s">
        <v>143</v>
      </c>
    </row>
    <row r="88" spans="1:52" ht="31.5">
      <c r="A88" t="s">
        <v>144</v>
      </c>
      <c r="B88" t="s">
        <v>214</v>
      </c>
      <c r="AT88" s="1"/>
      <c r="AU88" s="49" t="s">
        <v>2</v>
      </c>
      <c r="AV88" s="266" t="s">
        <v>389</v>
      </c>
      <c r="AW88" s="266" t="s">
        <v>390</v>
      </c>
    </row>
    <row r="89" spans="1:52">
      <c r="A89" s="343" t="s">
        <v>152</v>
      </c>
      <c r="B89" t="s">
        <v>153</v>
      </c>
      <c r="AT89" s="1" t="s">
        <v>388</v>
      </c>
      <c r="AU89" s="2">
        <f>SUM(AT3:AT78)</f>
        <v>62553535.541794501</v>
      </c>
      <c r="AV89" s="34">
        <f>AU89/D80</f>
        <v>2.9938911580240317</v>
      </c>
      <c r="AW89" s="34">
        <f>(AV89*1000)/365</f>
        <v>8.2024415288329635</v>
      </c>
    </row>
    <row r="90" spans="1:52">
      <c r="A90" s="343"/>
      <c r="B90" t="s">
        <v>155</v>
      </c>
      <c r="AT90" s="1" t="s">
        <v>386</v>
      </c>
      <c r="AU90" s="33">
        <f>(AU89/D80)*I80</f>
        <v>69653902.392986476</v>
      </c>
      <c r="AV90" s="267">
        <f>AU90/I80</f>
        <v>2.9938911580240317</v>
      </c>
      <c r="AW90" s="267">
        <f>(AV90*1000)/365</f>
        <v>8.2024415288329635</v>
      </c>
    </row>
    <row r="91" spans="1:52">
      <c r="A91" t="s">
        <v>156</v>
      </c>
      <c r="B91" t="s">
        <v>157</v>
      </c>
      <c r="AT91" s="1" t="s">
        <v>387</v>
      </c>
      <c r="AU91" s="34">
        <f>AU90*(1+AL129)</f>
        <v>130854904.69353075</v>
      </c>
      <c r="AV91" s="267">
        <f>AU91/I80</f>
        <v>5.624456472455825</v>
      </c>
      <c r="AW91" s="267">
        <f>(AV91*1000)/365</f>
        <v>15.409469787550206</v>
      </c>
    </row>
    <row r="92" spans="1:52" ht="31.5">
      <c r="B92" t="s">
        <v>158</v>
      </c>
      <c r="AT92" s="268" t="s">
        <v>394</v>
      </c>
      <c r="AU92" s="269">
        <f>AVERAGE(AU90:AU91)</f>
        <v>100254403.54325861</v>
      </c>
      <c r="AV92" s="273">
        <f>AVERAGE(AV90:AV91)</f>
        <v>4.3091738152399284</v>
      </c>
      <c r="AW92" s="273">
        <f>AVERAGE(AW90:AW91)</f>
        <v>11.805955658191586</v>
      </c>
      <c r="AX92" s="311"/>
    </row>
    <row r="93" spans="1:52">
      <c r="A93" t="s">
        <v>162</v>
      </c>
      <c r="B93" t="s">
        <v>159</v>
      </c>
    </row>
    <row r="94" spans="1:52">
      <c r="A94" t="s">
        <v>161</v>
      </c>
      <c r="B94" t="s">
        <v>163</v>
      </c>
    </row>
    <row r="95" spans="1:52">
      <c r="A95" t="s">
        <v>167</v>
      </c>
      <c r="B95" t="s">
        <v>168</v>
      </c>
    </row>
    <row r="96" spans="1:52">
      <c r="A96" t="s">
        <v>170</v>
      </c>
      <c r="B96" t="s">
        <v>171</v>
      </c>
    </row>
    <row r="97" spans="1:13">
      <c r="A97" t="s">
        <v>172</v>
      </c>
      <c r="B97" t="s">
        <v>173</v>
      </c>
    </row>
    <row r="98" spans="1:13">
      <c r="A98" t="s">
        <v>175</v>
      </c>
      <c r="B98" t="s">
        <v>176</v>
      </c>
    </row>
    <row r="99" spans="1:13" ht="33.950000000000003" customHeight="1">
      <c r="A99" s="342" t="s">
        <v>180</v>
      </c>
      <c r="B99" t="s">
        <v>178</v>
      </c>
    </row>
    <row r="100" spans="1:13">
      <c r="A100" s="342"/>
      <c r="B100" t="s">
        <v>179</v>
      </c>
    </row>
    <row r="101" spans="1:13">
      <c r="A101" t="s">
        <v>184</v>
      </c>
      <c r="B101" t="s">
        <v>182</v>
      </c>
    </row>
    <row r="102" spans="1:13" ht="33.950000000000003" customHeight="1">
      <c r="A102" s="358" t="s">
        <v>183</v>
      </c>
      <c r="B102" t="s">
        <v>181</v>
      </c>
    </row>
    <row r="103" spans="1:13">
      <c r="A103" s="358"/>
      <c r="B103" t="s">
        <v>188</v>
      </c>
    </row>
    <row r="104" spans="1:13" ht="33.950000000000003" customHeight="1">
      <c r="A104" s="342" t="s">
        <v>185</v>
      </c>
      <c r="B104" t="s">
        <v>186</v>
      </c>
    </row>
    <row r="105" spans="1:13">
      <c r="A105" s="342"/>
      <c r="B105" t="s">
        <v>187</v>
      </c>
      <c r="L105" s="5"/>
      <c r="M105" s="5"/>
    </row>
    <row r="106" spans="1:13">
      <c r="A106" t="s">
        <v>195</v>
      </c>
      <c r="B106" t="s">
        <v>204</v>
      </c>
      <c r="L106" s="5"/>
      <c r="M106" s="5"/>
    </row>
    <row r="107" spans="1:13">
      <c r="A107" t="s">
        <v>196</v>
      </c>
      <c r="B107" t="s">
        <v>192</v>
      </c>
      <c r="L107" s="5"/>
      <c r="M107" s="5"/>
    </row>
    <row r="108" spans="1:13">
      <c r="A108" t="s">
        <v>193</v>
      </c>
      <c r="B108" t="s">
        <v>213</v>
      </c>
      <c r="L108" s="5"/>
      <c r="M108" s="5"/>
    </row>
    <row r="109" spans="1:13">
      <c r="A109" t="s">
        <v>194</v>
      </c>
      <c r="B109" t="s">
        <v>210</v>
      </c>
    </row>
    <row r="110" spans="1:13">
      <c r="A110" s="343" t="s">
        <v>205</v>
      </c>
      <c r="B110" t="s">
        <v>209</v>
      </c>
    </row>
    <row r="111" spans="1:13">
      <c r="A111" s="343"/>
      <c r="B111" t="s">
        <v>212</v>
      </c>
    </row>
    <row r="112" spans="1:13">
      <c r="A112" s="122"/>
      <c r="B112" t="s">
        <v>248</v>
      </c>
    </row>
    <row r="113" spans="1:38" ht="18.95" customHeight="1">
      <c r="A113" s="43" t="s">
        <v>200</v>
      </c>
      <c r="B113" t="s">
        <v>208</v>
      </c>
    </row>
    <row r="114" spans="1:38">
      <c r="A114" t="s">
        <v>202</v>
      </c>
      <c r="B114" t="s">
        <v>203</v>
      </c>
    </row>
    <row r="115" spans="1:38" ht="31.5">
      <c r="A115" s="43" t="s">
        <v>206</v>
      </c>
      <c r="B115" t="s">
        <v>201</v>
      </c>
    </row>
    <row r="116" spans="1:38">
      <c r="A116" t="s">
        <v>254</v>
      </c>
      <c r="B116" t="s">
        <v>255</v>
      </c>
    </row>
    <row r="121" spans="1:38" ht="15.95" customHeight="1">
      <c r="F121" s="51"/>
      <c r="L121" s="5"/>
      <c r="M121" s="5"/>
    </row>
    <row r="128" spans="1:38" ht="15.95" customHeight="1">
      <c r="A128" s="354" t="s">
        <v>211</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6"/>
      <c r="AL128" s="52"/>
    </row>
    <row r="129" spans="1:39">
      <c r="A129" s="1" t="s">
        <v>119</v>
      </c>
      <c r="B129" s="1">
        <v>2015</v>
      </c>
      <c r="C129" s="1">
        <v>2016</v>
      </c>
      <c r="D129" s="32">
        <v>2017</v>
      </c>
      <c r="E129" s="1">
        <v>2018</v>
      </c>
      <c r="F129" s="1">
        <v>2019</v>
      </c>
      <c r="G129" s="1">
        <v>2020</v>
      </c>
      <c r="H129" s="1">
        <v>2021</v>
      </c>
      <c r="I129" s="1">
        <v>2022</v>
      </c>
      <c r="J129" s="1">
        <v>2023</v>
      </c>
      <c r="K129" s="1">
        <v>2024</v>
      </c>
      <c r="L129" s="1">
        <v>2025</v>
      </c>
      <c r="M129" s="1">
        <v>2026</v>
      </c>
      <c r="N129" s="1">
        <v>2027</v>
      </c>
      <c r="O129" s="1">
        <v>2028</v>
      </c>
      <c r="P129" s="1">
        <v>2029</v>
      </c>
      <c r="Q129" s="1">
        <v>2030</v>
      </c>
      <c r="R129" s="1">
        <v>2031</v>
      </c>
      <c r="S129" s="1">
        <v>2032</v>
      </c>
      <c r="T129" s="1">
        <v>2033</v>
      </c>
      <c r="U129" s="1">
        <v>2034</v>
      </c>
      <c r="V129" s="1">
        <v>2035</v>
      </c>
      <c r="W129" s="1">
        <v>2036</v>
      </c>
      <c r="X129" s="1">
        <v>2037</v>
      </c>
      <c r="Y129" s="1">
        <v>2038</v>
      </c>
      <c r="Z129" s="1">
        <v>2039</v>
      </c>
      <c r="AA129" s="1">
        <v>2040</v>
      </c>
      <c r="AB129" s="1">
        <v>2041</v>
      </c>
      <c r="AC129" s="1">
        <v>2042</v>
      </c>
      <c r="AD129" s="1">
        <v>2043</v>
      </c>
      <c r="AE129" s="1">
        <v>2044</v>
      </c>
      <c r="AF129" s="1">
        <v>2045</v>
      </c>
      <c r="AG129" s="1">
        <v>2046</v>
      </c>
      <c r="AH129" s="1">
        <v>2047</v>
      </c>
      <c r="AI129" s="1">
        <v>2048</v>
      </c>
      <c r="AJ129" s="1">
        <v>2049</v>
      </c>
      <c r="AK129" s="1">
        <v>2050</v>
      </c>
      <c r="AL129" s="31">
        <f>(AK130/B130)-1</f>
        <v>0.87864427114577093</v>
      </c>
      <c r="AM129" t="s">
        <v>121</v>
      </c>
    </row>
    <row r="130" spans="1:39">
      <c r="A130" s="1" t="s">
        <v>120</v>
      </c>
      <c r="B130" s="33">
        <v>16670</v>
      </c>
      <c r="C130" s="33">
        <v>16937</v>
      </c>
      <c r="D130" s="33">
        <v>17105</v>
      </c>
      <c r="E130" s="33">
        <v>17315</v>
      </c>
      <c r="F130" s="33">
        <v>17595</v>
      </c>
      <c r="G130" s="40">
        <f>17805-(17805*0.08)</f>
        <v>16380.6</v>
      </c>
      <c r="H130" s="40">
        <f>G130+(G130*0.015)</f>
        <v>16626.309000000001</v>
      </c>
      <c r="I130" s="40">
        <f>AVERAGE(H130,J130)</f>
        <v>17617.154500000001</v>
      </c>
      <c r="J130" s="34">
        <v>18608</v>
      </c>
      <c r="K130" s="34">
        <v>18924</v>
      </c>
      <c r="L130" s="34">
        <v>19255</v>
      </c>
      <c r="M130" s="34">
        <v>19600</v>
      </c>
      <c r="N130" s="34">
        <v>19960</v>
      </c>
      <c r="O130" s="34">
        <v>20333</v>
      </c>
      <c r="P130" s="34">
        <v>20720</v>
      </c>
      <c r="Q130" s="34">
        <v>21121</v>
      </c>
      <c r="R130" s="34">
        <v>21534</v>
      </c>
      <c r="S130" s="34">
        <v>21960</v>
      </c>
      <c r="T130" s="34">
        <v>22398</v>
      </c>
      <c r="U130" s="34">
        <v>22848</v>
      </c>
      <c r="V130" s="34">
        <v>23310</v>
      </c>
      <c r="W130" s="34">
        <v>23783</v>
      </c>
      <c r="X130" s="34">
        <v>24267</v>
      </c>
      <c r="Y130" s="34">
        <v>24763</v>
      </c>
      <c r="Z130" s="34">
        <v>25268</v>
      </c>
      <c r="AA130" s="34">
        <v>25784</v>
      </c>
      <c r="AB130" s="34">
        <v>26307</v>
      </c>
      <c r="AC130" s="34">
        <v>26839</v>
      </c>
      <c r="AD130" s="34">
        <v>27378</v>
      </c>
      <c r="AE130" s="34">
        <v>27923</v>
      </c>
      <c r="AF130" s="34">
        <v>28474</v>
      </c>
      <c r="AG130" s="34">
        <v>29030</v>
      </c>
      <c r="AH130" s="34">
        <v>29592</v>
      </c>
      <c r="AI130" s="34">
        <v>30160</v>
      </c>
      <c r="AJ130" s="34">
        <v>30735</v>
      </c>
      <c r="AK130" s="34">
        <v>31317</v>
      </c>
      <c r="AL130" s="35">
        <f>AVERAGE(C131:AK131)</f>
        <v>1.8338110839673034E-2</v>
      </c>
      <c r="AM130" t="s">
        <v>122</v>
      </c>
    </row>
    <row r="131" spans="1:39">
      <c r="A131" s="1" t="s">
        <v>366</v>
      </c>
      <c r="B131" s="1"/>
      <c r="C131" s="1">
        <f>(C130/B130)-1</f>
        <v>1.6016796640671904E-2</v>
      </c>
      <c r="D131" s="1">
        <f t="shared" ref="D131:AI131" si="71">(D130/C130)-1</f>
        <v>9.9191120033064184E-3</v>
      </c>
      <c r="E131" s="1">
        <f t="shared" si="71"/>
        <v>1.2277111955568465E-2</v>
      </c>
      <c r="F131" s="1">
        <f t="shared" si="71"/>
        <v>1.6170950043315147E-2</v>
      </c>
      <c r="G131" s="1">
        <f t="shared" si="71"/>
        <v>-6.901960784313721E-2</v>
      </c>
      <c r="H131" s="1">
        <f t="shared" si="71"/>
        <v>1.5000000000000124E-2</v>
      </c>
      <c r="I131" s="1">
        <f t="shared" si="71"/>
        <v>5.959503699828983E-2</v>
      </c>
      <c r="J131" s="1">
        <f t="shared" si="71"/>
        <v>5.6243220209029721E-2</v>
      </c>
      <c r="K131" s="1">
        <f t="shared" si="71"/>
        <v>1.6981943250214959E-2</v>
      </c>
      <c r="L131" s="1">
        <f t="shared" si="71"/>
        <v>1.7491016698372386E-2</v>
      </c>
      <c r="M131" s="1">
        <f t="shared" si="71"/>
        <v>1.7917424045702512E-2</v>
      </c>
      <c r="N131" s="1">
        <f t="shared" si="71"/>
        <v>1.8367346938775508E-2</v>
      </c>
      <c r="O131" s="1">
        <f t="shared" si="71"/>
        <v>1.8687374749499108E-2</v>
      </c>
      <c r="P131" s="1">
        <f t="shared" si="71"/>
        <v>1.903309890326077E-2</v>
      </c>
      <c r="Q131" s="1">
        <f t="shared" si="71"/>
        <v>1.9353281853281779E-2</v>
      </c>
      <c r="R131" s="1">
        <f t="shared" si="71"/>
        <v>1.9553998390227756E-2</v>
      </c>
      <c r="S131" s="1">
        <f t="shared" si="71"/>
        <v>1.9782669267205399E-2</v>
      </c>
      <c r="T131" s="1">
        <f t="shared" si="71"/>
        <v>1.9945355191256731E-2</v>
      </c>
      <c r="U131" s="1">
        <f t="shared" si="71"/>
        <v>2.0091079560675018E-2</v>
      </c>
      <c r="V131" s="1">
        <f t="shared" si="71"/>
        <v>2.0220588235294157E-2</v>
      </c>
      <c r="W131" s="1">
        <f t="shared" si="71"/>
        <v>2.0291720291720328E-2</v>
      </c>
      <c r="X131" s="1">
        <f t="shared" si="71"/>
        <v>2.0350670647100833E-2</v>
      </c>
      <c r="Y131" s="1">
        <f t="shared" si="71"/>
        <v>2.0439279680224187E-2</v>
      </c>
      <c r="Z131" s="1">
        <f t="shared" si="71"/>
        <v>2.0393328756612705E-2</v>
      </c>
      <c r="AA131" s="1">
        <f t="shared" si="71"/>
        <v>2.0421085958524543E-2</v>
      </c>
      <c r="AB131" s="1">
        <f t="shared" si="71"/>
        <v>2.0283896990381578E-2</v>
      </c>
      <c r="AC131" s="1">
        <f t="shared" si="71"/>
        <v>2.0222754399969567E-2</v>
      </c>
      <c r="AD131" s="1">
        <f t="shared" si="71"/>
        <v>2.0082715451395394E-2</v>
      </c>
      <c r="AE131" s="1">
        <f t="shared" si="71"/>
        <v>1.9906494265468533E-2</v>
      </c>
      <c r="AF131" s="1">
        <f t="shared" si="71"/>
        <v>1.9732836729577707E-2</v>
      </c>
      <c r="AG131" s="1">
        <f t="shared" si="71"/>
        <v>1.9526585657090756E-2</v>
      </c>
      <c r="AH131" s="1">
        <f t="shared" si="71"/>
        <v>1.935928349982774E-2</v>
      </c>
      <c r="AI131" s="1">
        <f t="shared" si="71"/>
        <v>1.9194376858610473E-2</v>
      </c>
      <c r="AJ131" s="1">
        <f>(AJ130/AI130)-1</f>
        <v>1.9064986737400424E-2</v>
      </c>
      <c r="AK131" s="1">
        <f>(AK130/AJ130)-1</f>
        <v>1.8936066373840932E-2</v>
      </c>
    </row>
    <row r="134" spans="1:39">
      <c r="A134" s="351" t="s">
        <v>382</v>
      </c>
      <c r="B134" s="352"/>
      <c r="C134" s="352"/>
      <c r="D134" s="352"/>
      <c r="E134" s="353"/>
    </row>
    <row r="135" spans="1:39">
      <c r="A135" s="50" t="s">
        <v>149</v>
      </c>
      <c r="B135" s="47" t="s">
        <v>2</v>
      </c>
      <c r="C135" s="47" t="s">
        <v>146</v>
      </c>
      <c r="D135" s="47" t="s">
        <v>147</v>
      </c>
      <c r="E135" s="48" t="s">
        <v>148</v>
      </c>
    </row>
    <row r="136" spans="1:39" ht="31.5">
      <c r="A136" s="46" t="s">
        <v>150</v>
      </c>
      <c r="B136" s="44">
        <v>21920936.600000001</v>
      </c>
      <c r="C136" s="1">
        <v>2.4742510599999998</v>
      </c>
      <c r="D136" s="1">
        <v>1.8556883200000001</v>
      </c>
      <c r="E136" s="1">
        <v>1.2371255299999999</v>
      </c>
    </row>
    <row r="137" spans="1:39" ht="31.5">
      <c r="A137" s="46" t="s">
        <v>151</v>
      </c>
      <c r="B137" s="44">
        <v>35563112.799999997</v>
      </c>
      <c r="C137" s="1">
        <v>3.5004142200000001</v>
      </c>
      <c r="D137" s="1">
        <v>2.6253106499999999</v>
      </c>
      <c r="E137" s="1">
        <v>1.7502070999999999</v>
      </c>
    </row>
    <row r="138" spans="1:39" ht="31.5">
      <c r="A138" s="46" t="s">
        <v>86</v>
      </c>
      <c r="B138" s="44">
        <v>647594.06000000006</v>
      </c>
      <c r="C138" s="1">
        <v>8.5940236700000003</v>
      </c>
      <c r="D138" s="1">
        <v>6.4455177600000004</v>
      </c>
      <c r="E138" s="1">
        <v>4.2970118499999996</v>
      </c>
    </row>
    <row r="141" spans="1:39" ht="33.950000000000003" customHeight="1">
      <c r="A141" s="338" t="s">
        <v>375</v>
      </c>
      <c r="B141" s="338"/>
    </row>
    <row r="142" spans="1:39">
      <c r="A142" s="339" t="s">
        <v>369</v>
      </c>
      <c r="B142" s="339" t="s">
        <v>370</v>
      </c>
      <c r="C142" s="339" t="s">
        <v>371</v>
      </c>
      <c r="D142" s="337" t="s">
        <v>372</v>
      </c>
      <c r="E142" s="337" t="s">
        <v>373</v>
      </c>
      <c r="F142" s="337" t="s">
        <v>374</v>
      </c>
      <c r="G142" s="318" t="s">
        <v>376</v>
      </c>
      <c r="H142" s="318" t="s">
        <v>377</v>
      </c>
      <c r="I142" s="318" t="s">
        <v>378</v>
      </c>
      <c r="J142" s="318" t="s">
        <v>379</v>
      </c>
      <c r="K142" s="318" t="s">
        <v>380</v>
      </c>
      <c r="L142" s="318" t="s">
        <v>381</v>
      </c>
    </row>
    <row r="143" spans="1:39" ht="47.1" customHeight="1">
      <c r="A143" s="339"/>
      <c r="B143" s="339"/>
      <c r="C143" s="339"/>
      <c r="D143" s="337"/>
      <c r="E143" s="337"/>
      <c r="F143" s="337"/>
      <c r="G143" s="318"/>
      <c r="H143" s="318"/>
      <c r="I143" s="318"/>
      <c r="J143" s="318"/>
      <c r="K143" s="318"/>
      <c r="L143" s="318"/>
    </row>
    <row r="144" spans="1:39" ht="16.5" thickBot="1">
      <c r="A144" s="126">
        <v>221114.9906538123</v>
      </c>
      <c r="B144" s="126">
        <v>204930.2049073895</v>
      </c>
      <c r="C144" s="126">
        <v>16184.7857464228</v>
      </c>
      <c r="D144" s="126">
        <f>(A144/99812701)*20893724</f>
        <v>46285.848801780587</v>
      </c>
      <c r="E144" s="34">
        <f>(B144/99812701)*20893724</f>
        <v>42897.898741347977</v>
      </c>
      <c r="F144" s="34">
        <f>(C144/99812701)*20893724</f>
        <v>3387.950060432609</v>
      </c>
      <c r="G144" s="126">
        <f>(D144/20893724)*23265342</f>
        <v>51539.692116815342</v>
      </c>
      <c r="H144" s="34">
        <f>(E144/20893724)*23265342</f>
        <v>47767.180484380391</v>
      </c>
      <c r="I144" s="34">
        <f>(F144/20893724)*23265342.23</f>
        <v>3772.5116697298113</v>
      </c>
      <c r="J144" s="34">
        <f>SUM(G147:I147)</f>
        <v>58671.632804953471</v>
      </c>
      <c r="K144" s="34">
        <f>J144*(((H144*100)/G144)/100)</f>
        <v>54377.089935955126</v>
      </c>
      <c r="L144" s="34">
        <f>J144*(((I144*100)/G144)/100)</f>
        <v>4294.5429114539702</v>
      </c>
      <c r="P144" s="263"/>
    </row>
    <row r="145" spans="1:15" ht="15.95" customHeight="1">
      <c r="A145" s="319" t="s">
        <v>266</v>
      </c>
      <c r="B145" s="321" t="s">
        <v>397</v>
      </c>
      <c r="C145" s="323" t="s">
        <v>398</v>
      </c>
      <c r="D145" s="329" t="s">
        <v>399</v>
      </c>
      <c r="E145" s="331" t="s">
        <v>400</v>
      </c>
      <c r="F145" s="333" t="s">
        <v>401</v>
      </c>
      <c r="G145" s="335" t="s">
        <v>402</v>
      </c>
      <c r="H145" s="325" t="s">
        <v>403</v>
      </c>
      <c r="I145" s="327" t="s">
        <v>404</v>
      </c>
    </row>
    <row r="146" spans="1:15" ht="33.950000000000003" customHeight="1">
      <c r="A146" s="320"/>
      <c r="B146" s="322"/>
      <c r="C146" s="324"/>
      <c r="D146" s="330"/>
      <c r="E146" s="332"/>
      <c r="F146" s="334"/>
      <c r="G146" s="336"/>
      <c r="H146" s="326"/>
      <c r="I146" s="328"/>
    </row>
    <row r="147" spans="1:15">
      <c r="A147" s="138">
        <v>202791.53100105576</v>
      </c>
      <c r="B147" s="126">
        <v>6737.8345420784262</v>
      </c>
      <c r="C147" s="275">
        <v>11585.625110678113</v>
      </c>
      <c r="D147" s="128">
        <f>(A147/99812701)*20893724</f>
        <v>42450.211604568263</v>
      </c>
      <c r="E147" s="34">
        <f>(B147/99812701)*20893724</f>
        <v>1410.426267092532</v>
      </c>
      <c r="F147" s="34">
        <f>(C147/99812701)*20893724</f>
        <v>2425.2109301197847</v>
      </c>
      <c r="G147" s="277">
        <f>((D147/20893724)*23265342)*1.07149</f>
        <v>50647.914712037666</v>
      </c>
      <c r="H147" s="34">
        <f>((E147/20893724)*23265342)*(1+AL129)</f>
        <v>2950.4518222471547</v>
      </c>
      <c r="I147" s="34">
        <f>((F147/20893724)*23265342)*(1+AL129)</f>
        <v>5073.2662706686506</v>
      </c>
    </row>
    <row r="148" spans="1:15" ht="63">
      <c r="A148" s="129"/>
      <c r="D148" s="268" t="s">
        <v>395</v>
      </c>
      <c r="E148" s="278">
        <f>((D144*1000000)/365)/20893724</f>
        <v>6.0693127114349057</v>
      </c>
      <c r="G148" s="268" t="s">
        <v>396</v>
      </c>
      <c r="H148" s="278">
        <f>((J144*1000000)/365)/23265342</f>
        <v>6.909169848679892</v>
      </c>
      <c r="I148" s="2"/>
      <c r="J148" s="268" t="s">
        <v>405</v>
      </c>
      <c r="K148" s="278">
        <f>(E148+H148)/2</f>
        <v>6.4892412800573993</v>
      </c>
      <c r="L148" s="38"/>
      <c r="O148" s="2"/>
    </row>
    <row r="149" spans="1:15">
      <c r="I149" s="4"/>
    </row>
    <row r="151" spans="1:15">
      <c r="A151" s="276"/>
      <c r="D151" s="276"/>
    </row>
    <row r="153" spans="1:15">
      <c r="E153" s="129"/>
    </row>
  </sheetData>
  <mergeCells count="72">
    <mergeCell ref="A1:A2"/>
    <mergeCell ref="B1:B2"/>
    <mergeCell ref="D1:G1"/>
    <mergeCell ref="H1:H2"/>
    <mergeCell ref="C1:C2"/>
    <mergeCell ref="AX1:AX2"/>
    <mergeCell ref="J1:M1"/>
    <mergeCell ref="AA1:AB1"/>
    <mergeCell ref="AS1:AS2"/>
    <mergeCell ref="U1:U2"/>
    <mergeCell ref="V1:X1"/>
    <mergeCell ref="Y1:Z1"/>
    <mergeCell ref="AC1:AC2"/>
    <mergeCell ref="AD1:AF1"/>
    <mergeCell ref="AG1:AG2"/>
    <mergeCell ref="N1:N2"/>
    <mergeCell ref="P1:P2"/>
    <mergeCell ref="Q1:Q2"/>
    <mergeCell ref="R1:R2"/>
    <mergeCell ref="S1:S2"/>
    <mergeCell ref="T1:T2"/>
    <mergeCell ref="AJ1:AJ2"/>
    <mergeCell ref="AL1:AL2"/>
    <mergeCell ref="AP1:AP2"/>
    <mergeCell ref="AR1:AR2"/>
    <mergeCell ref="AH1:AH2"/>
    <mergeCell ref="AI1:AI2"/>
    <mergeCell ref="AK1:AK2"/>
    <mergeCell ref="A134:E134"/>
    <mergeCell ref="A128:AK128"/>
    <mergeCell ref="A99:A100"/>
    <mergeCell ref="A83:A86"/>
    <mergeCell ref="A89:A90"/>
    <mergeCell ref="A102:A103"/>
    <mergeCell ref="BC1:BC2"/>
    <mergeCell ref="A104:A105"/>
    <mergeCell ref="A110:A111"/>
    <mergeCell ref="AW1:AW2"/>
    <mergeCell ref="AZ1:AZ2"/>
    <mergeCell ref="BB1:BB2"/>
    <mergeCell ref="BA1:BA2"/>
    <mergeCell ref="A79:C79"/>
    <mergeCell ref="AO1:AO2"/>
    <mergeCell ref="AN1:AN2"/>
    <mergeCell ref="AM1:AM2"/>
    <mergeCell ref="O1:O2"/>
    <mergeCell ref="AQ1:AQ2"/>
    <mergeCell ref="AT1:AT2"/>
    <mergeCell ref="AV1:AV2"/>
    <mergeCell ref="AY1:AY2"/>
    <mergeCell ref="A141:B141"/>
    <mergeCell ref="G142:G143"/>
    <mergeCell ref="H142:H143"/>
    <mergeCell ref="I142:I143"/>
    <mergeCell ref="A142:A143"/>
    <mergeCell ref="B142:B143"/>
    <mergeCell ref="C142:C143"/>
    <mergeCell ref="D142:D143"/>
    <mergeCell ref="E142:E143"/>
    <mergeCell ref="J142:J143"/>
    <mergeCell ref="K142:K143"/>
    <mergeCell ref="L142:L143"/>
    <mergeCell ref="A145:A146"/>
    <mergeCell ref="B145:B146"/>
    <mergeCell ref="C145:C146"/>
    <mergeCell ref="H145:H146"/>
    <mergeCell ref="I145:I146"/>
    <mergeCell ref="D145:D146"/>
    <mergeCell ref="E145:E146"/>
    <mergeCell ref="F145:F146"/>
    <mergeCell ref="G145:G146"/>
    <mergeCell ref="F142:F143"/>
  </mergeCells>
  <hyperlinks>
    <hyperlink ref="D79" r:id="rId1" display="https://www.inegi.org.mx/contenidos/programas/intercensal/2015/tabulados/01_poblacion_mex.xls"/>
    <hyperlink ref="E79" r:id="rId2" display="https://igecem.edomex.gob.mx/sites/igecem.edomex.gob.mx/files/files/ArchivosPDF/Productos-Estadisticos/Indole-Social/EBM/Estadistica_Basica_Municipal_del_Estado_de_Mexico_2018_3raParte.zip"/>
    <hyperlink ref="F79" r:id="rId3" display="https://igecem.edomex.gob.mx/sites/igecem.edomex.gob.mx/files/files/ArchivosPDF/Productos-Estadisticos/Indole-Social/EBM/Estadistica_Basica_Municipal_del_Estado_de_Mexico_2018_3raParte.zip"/>
    <hyperlink ref="S79" r:id="rId4" display="https://www.coneval.org.mx/Medicion/Documents/Pobreza_municipal/Concentrado_indicadores_de_pobreza.zip"/>
    <hyperlink ref="H79" r:id="rId5" display="http://www.conapo.gob.mx/work/models/CONAPO/Resource/1206/2/images/Proyecciones_de_Poblacion_ZM.xlsx"/>
    <hyperlink ref="J79" r:id="rId6" display="http://www.conapo.gob.mx/work/models/CONAPO/zonas_metropolitanas2000/completo.pdf"/>
    <hyperlink ref="P79" r:id="rId7" location="Datos_abiertos"/>
    <hyperlink ref="N79" r:id="rId8"/>
    <hyperlink ref="AY79" r:id="rId9"/>
    <hyperlink ref="T79" r:id="rId10"/>
    <hyperlink ref="U79" r:id="rId11"/>
    <hyperlink ref="V79" r:id="rId12"/>
    <hyperlink ref="W79" r:id="rId13"/>
    <hyperlink ref="X79" r:id="rId14"/>
    <hyperlink ref="AA79" r:id="rId15" display="CFE"/>
    <hyperlink ref="Y79" r:id="rId16"/>
    <hyperlink ref="Z79" r:id="rId17"/>
    <hyperlink ref="AB79" r:id="rId18" display="CFE"/>
    <hyperlink ref="AC79" r:id="rId19" display="CFE"/>
    <hyperlink ref="AD79" r:id="rId20"/>
    <hyperlink ref="AE79" r:id="rId21"/>
    <hyperlink ref="AF79" r:id="rId22"/>
    <hyperlink ref="AR79" r:id="rId23"/>
    <hyperlink ref="AV79" r:id="rId24"/>
    <hyperlink ref="AX79" r:id="rId25"/>
    <hyperlink ref="AG79" r:id="rId26" display="CONAGUA"/>
    <hyperlink ref="AH79" r:id="rId27" display="CONAGUA"/>
    <hyperlink ref="AS79" r:id="rId28"/>
    <hyperlink ref="AZ79" r:id="rId29"/>
    <hyperlink ref="BB79" r:id="rI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2"/>
  <sheetViews>
    <sheetView topLeftCell="A2" zoomScaleNormal="100" workbookViewId="0">
      <selection activeCell="AG33" sqref="AG33"/>
    </sheetView>
  </sheetViews>
  <sheetFormatPr defaultColWidth="11" defaultRowHeight="15.75"/>
  <cols>
    <col min="1" max="1" width="14.5" bestFit="1" customWidth="1"/>
    <col min="2" max="2" width="15.375" customWidth="1"/>
    <col min="3" max="4" width="13.875" customWidth="1"/>
    <col min="5" max="5" width="16" customWidth="1"/>
    <col min="6" max="6" width="13.875" customWidth="1"/>
    <col min="7" max="7" width="16.375" customWidth="1"/>
    <col min="8" max="8" width="14.625" customWidth="1"/>
    <col min="9" max="9" width="12.5" customWidth="1"/>
    <col min="11" max="11" width="11.5" bestFit="1" customWidth="1"/>
    <col min="12" max="12" width="12" customWidth="1"/>
    <col min="13" max="13" width="11.875" customWidth="1"/>
    <col min="15" max="15" width="11.5" bestFit="1" customWidth="1"/>
    <col min="19" max="20" width="12.375" customWidth="1"/>
    <col min="24" max="24" width="12.875" customWidth="1"/>
    <col min="25" max="25" width="14.125" customWidth="1"/>
    <col min="26" max="26" width="15.875" customWidth="1"/>
    <col min="27" max="27" width="15.625" customWidth="1"/>
    <col min="30" max="30" width="13.625" customWidth="1"/>
    <col min="31" max="31" width="16.625" bestFit="1" customWidth="1"/>
  </cols>
  <sheetData>
    <row r="1" spans="1:77" ht="16.5" thickBot="1"/>
    <row r="2" spans="1:77">
      <c r="A2" s="231" t="s">
        <v>357</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row>
    <row r="3" spans="1:77">
      <c r="A3" s="224"/>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220"/>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row>
    <row r="4" spans="1:77">
      <c r="A4" s="415"/>
      <c r="B4" s="401">
        <v>2015</v>
      </c>
      <c r="C4" s="402"/>
      <c r="D4" s="402"/>
      <c r="E4" s="402"/>
      <c r="F4" s="402"/>
      <c r="G4" s="403"/>
      <c r="H4" s="404">
        <v>2035</v>
      </c>
      <c r="I4" s="402"/>
      <c r="J4" s="402"/>
      <c r="K4" s="402"/>
      <c r="L4" s="402"/>
      <c r="M4" s="405"/>
      <c r="N4" s="401">
        <v>2050</v>
      </c>
      <c r="O4" s="402"/>
      <c r="P4" s="402"/>
      <c r="Q4" s="402"/>
      <c r="R4" s="402"/>
      <c r="S4" s="403"/>
      <c r="T4" s="121"/>
      <c r="U4" s="401" t="s">
        <v>358</v>
      </c>
      <c r="V4" s="402"/>
      <c r="W4" s="402"/>
      <c r="X4" s="402"/>
      <c r="Y4" s="402"/>
      <c r="Z4" s="406"/>
      <c r="AA4" s="66"/>
      <c r="AB4" s="121"/>
      <c r="AC4" s="121"/>
      <c r="AD4" s="121"/>
      <c r="AE4" s="121"/>
      <c r="AF4" s="121"/>
      <c r="AG4" s="121"/>
      <c r="AH4" s="121"/>
      <c r="AI4" s="121"/>
      <c r="AJ4" s="121"/>
      <c r="AK4" s="121"/>
      <c r="AL4" s="121"/>
      <c r="AM4" s="121"/>
      <c r="AN4" s="121"/>
      <c r="AO4" s="121"/>
      <c r="AP4" s="121"/>
      <c r="AQ4" s="121"/>
      <c r="AR4" s="121"/>
      <c r="AS4" s="220"/>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row>
    <row r="5" spans="1:77">
      <c r="A5" s="415"/>
      <c r="B5" s="407" t="s">
        <v>234</v>
      </c>
      <c r="C5" s="394"/>
      <c r="D5" s="394"/>
      <c r="E5" s="394"/>
      <c r="F5" s="397"/>
      <c r="G5" s="408" t="s">
        <v>216</v>
      </c>
      <c r="H5" s="407" t="s">
        <v>234</v>
      </c>
      <c r="I5" s="394"/>
      <c r="J5" s="394"/>
      <c r="K5" s="394"/>
      <c r="L5" s="397"/>
      <c r="M5" s="408" t="s">
        <v>216</v>
      </c>
      <c r="N5" s="407" t="s">
        <v>234</v>
      </c>
      <c r="O5" s="394"/>
      <c r="P5" s="394"/>
      <c r="Q5" s="394"/>
      <c r="R5" s="397"/>
      <c r="S5" s="408" t="s">
        <v>216</v>
      </c>
      <c r="T5" s="121"/>
      <c r="U5" s="407" t="s">
        <v>234</v>
      </c>
      <c r="V5" s="394"/>
      <c r="W5" s="394"/>
      <c r="X5" s="394"/>
      <c r="Y5" s="397"/>
      <c r="Z5" s="410" t="s">
        <v>216</v>
      </c>
      <c r="AA5" s="389" t="s">
        <v>2</v>
      </c>
      <c r="AB5" s="121"/>
      <c r="AC5" s="121"/>
      <c r="AD5" s="121"/>
      <c r="AE5" s="121"/>
      <c r="AF5" s="121"/>
      <c r="AG5" s="121"/>
      <c r="AH5" s="121"/>
      <c r="AI5" s="121"/>
      <c r="AJ5" s="121"/>
      <c r="AK5" s="121"/>
      <c r="AL5" s="121"/>
      <c r="AM5" s="121"/>
      <c r="AN5" s="121"/>
      <c r="AO5" s="121"/>
      <c r="AP5" s="121"/>
      <c r="AQ5" s="121"/>
      <c r="AR5" s="121"/>
      <c r="AS5" s="220"/>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row>
    <row r="6" spans="1:77" ht="30.75" thickBot="1">
      <c r="A6" s="416"/>
      <c r="B6" s="59" t="s">
        <v>230</v>
      </c>
      <c r="C6" s="60" t="s">
        <v>231</v>
      </c>
      <c r="D6" s="60" t="s">
        <v>232</v>
      </c>
      <c r="E6" s="60" t="s">
        <v>240</v>
      </c>
      <c r="F6" s="60" t="s">
        <v>233</v>
      </c>
      <c r="G6" s="409"/>
      <c r="H6" s="59" t="s">
        <v>230</v>
      </c>
      <c r="I6" s="60" t="s">
        <v>231</v>
      </c>
      <c r="J6" s="60" t="s">
        <v>232</v>
      </c>
      <c r="K6" s="60" t="s">
        <v>240</v>
      </c>
      <c r="L6" s="60" t="s">
        <v>233</v>
      </c>
      <c r="M6" s="409"/>
      <c r="N6" s="59" t="s">
        <v>230</v>
      </c>
      <c r="O6" s="60" t="s">
        <v>231</v>
      </c>
      <c r="P6" s="60" t="s">
        <v>232</v>
      </c>
      <c r="Q6" s="60" t="s">
        <v>240</v>
      </c>
      <c r="R6" s="60" t="s">
        <v>233</v>
      </c>
      <c r="S6" s="409"/>
      <c r="T6" s="121"/>
      <c r="U6" s="59" t="s">
        <v>230</v>
      </c>
      <c r="V6" s="60" t="s">
        <v>231</v>
      </c>
      <c r="W6" s="60" t="s">
        <v>232</v>
      </c>
      <c r="X6" s="60" t="s">
        <v>240</v>
      </c>
      <c r="Y6" s="60" t="s">
        <v>233</v>
      </c>
      <c r="Z6" s="411"/>
      <c r="AA6" s="390"/>
      <c r="AB6" s="121"/>
      <c r="AC6" s="121"/>
      <c r="AD6" s="121"/>
      <c r="AE6" s="121"/>
      <c r="AF6" s="121"/>
      <c r="AG6" s="121"/>
      <c r="AH6" s="121"/>
      <c r="AI6" s="121"/>
      <c r="AJ6" s="121"/>
      <c r="AK6" s="121"/>
      <c r="AL6" s="121"/>
      <c r="AM6" s="121"/>
      <c r="AN6" s="121"/>
      <c r="AO6" s="121"/>
      <c r="AP6" s="121"/>
      <c r="AQ6" s="121"/>
      <c r="AR6" s="121"/>
      <c r="AS6" s="220"/>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row>
    <row r="7" spans="1:77">
      <c r="A7" s="61" t="s">
        <v>237</v>
      </c>
      <c r="B7" s="62">
        <v>36556582.18</v>
      </c>
      <c r="C7" s="62">
        <v>16120437.279999999</v>
      </c>
      <c r="D7" s="62">
        <v>26401976.02</v>
      </c>
      <c r="E7" s="62" t="s">
        <v>217</v>
      </c>
      <c r="F7" s="62">
        <v>21578538.09</v>
      </c>
      <c r="G7" s="63">
        <v>26275043.440000001</v>
      </c>
      <c r="H7" s="62">
        <v>43316151.5</v>
      </c>
      <c r="I7" s="62">
        <v>10867303.029999999</v>
      </c>
      <c r="J7" s="62">
        <v>37959030.289999999</v>
      </c>
      <c r="K7" s="62">
        <v>12244848.48</v>
      </c>
      <c r="L7" s="62">
        <v>25408060.600000001</v>
      </c>
      <c r="M7" s="64">
        <v>23265212.109999999</v>
      </c>
      <c r="N7" s="65">
        <v>45640075.68</v>
      </c>
      <c r="O7" s="62">
        <v>4529180.3600000003</v>
      </c>
      <c r="P7" s="62">
        <v>45434726.549999997</v>
      </c>
      <c r="Q7" s="62">
        <v>22764182.879999999</v>
      </c>
      <c r="R7" s="62">
        <v>26542606.82</v>
      </c>
      <c r="S7" s="63">
        <v>19368529.710000001</v>
      </c>
      <c r="T7" s="121"/>
      <c r="U7" s="65">
        <v>4294260.95</v>
      </c>
      <c r="V7" s="62">
        <v>45199807.149999999</v>
      </c>
      <c r="W7" s="62">
        <v>22529263.48</v>
      </c>
      <c r="X7" s="62">
        <v>26307687.420000002</v>
      </c>
      <c r="Y7" s="62">
        <v>19133610.300000001</v>
      </c>
      <c r="Z7" s="64">
        <v>19368529.710000001</v>
      </c>
      <c r="AA7" s="66"/>
      <c r="AB7" s="121"/>
      <c r="AC7" s="121"/>
      <c r="AD7" s="121"/>
      <c r="AE7" s="121"/>
      <c r="AF7" s="121"/>
      <c r="AG7" s="121"/>
      <c r="AH7" s="121"/>
      <c r="AI7" s="121"/>
      <c r="AJ7" s="121"/>
      <c r="AK7" s="121"/>
      <c r="AL7" s="121"/>
      <c r="AM7" s="121"/>
      <c r="AN7" s="121"/>
      <c r="AO7" s="121"/>
      <c r="AP7" s="121"/>
      <c r="AQ7" s="121"/>
      <c r="AR7" s="121"/>
      <c r="AS7" s="220"/>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row>
    <row r="8" spans="1:77" ht="16.5" thickBot="1">
      <c r="A8" s="67" t="s">
        <v>238</v>
      </c>
      <c r="B8" s="68">
        <v>28.8</v>
      </c>
      <c r="C8" s="68">
        <v>12.7</v>
      </c>
      <c r="D8" s="68">
        <v>20.8</v>
      </c>
      <c r="E8" s="68">
        <v>0</v>
      </c>
      <c r="F8" s="68">
        <v>17</v>
      </c>
      <c r="G8" s="69">
        <v>20.7</v>
      </c>
      <c r="H8" s="68">
        <v>28.3</v>
      </c>
      <c r="I8" s="68">
        <v>7.1</v>
      </c>
      <c r="J8" s="68">
        <v>24.8</v>
      </c>
      <c r="K8" s="68">
        <v>8</v>
      </c>
      <c r="L8" s="68">
        <v>16.600000000000001</v>
      </c>
      <c r="M8" s="70">
        <v>15.2</v>
      </c>
      <c r="N8" s="71">
        <v>27.78</v>
      </c>
      <c r="O8" s="72">
        <v>2.76</v>
      </c>
      <c r="P8" s="72">
        <v>27.66</v>
      </c>
      <c r="Q8" s="72">
        <v>13.86</v>
      </c>
      <c r="R8" s="72">
        <v>16.16</v>
      </c>
      <c r="S8" s="73">
        <v>11.79</v>
      </c>
      <c r="T8" s="121"/>
      <c r="U8" s="74">
        <v>2.61</v>
      </c>
      <c r="V8" s="75">
        <v>27.51</v>
      </c>
      <c r="W8" s="75">
        <v>13.71</v>
      </c>
      <c r="X8" s="75">
        <v>16.010000000000002</v>
      </c>
      <c r="Y8" s="75">
        <v>11.65</v>
      </c>
      <c r="Z8" s="244">
        <v>11.79</v>
      </c>
      <c r="AA8" s="76"/>
      <c r="AB8" s="121"/>
      <c r="AC8" s="121"/>
      <c r="AD8" s="121"/>
      <c r="AE8" s="121"/>
      <c r="AF8" s="121"/>
      <c r="AG8" s="121"/>
      <c r="AH8" s="121"/>
      <c r="AI8" s="121"/>
      <c r="AJ8" s="121"/>
      <c r="AK8" s="121"/>
      <c r="AL8" s="121"/>
      <c r="AM8" s="121"/>
      <c r="AN8" s="121"/>
      <c r="AO8" s="121"/>
      <c r="AP8" s="121"/>
      <c r="AQ8" s="121"/>
      <c r="AR8" s="121"/>
      <c r="AS8" s="220"/>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row>
    <row r="9" spans="1:77" ht="16.5" thickBot="1">
      <c r="A9" s="77" t="s">
        <v>239</v>
      </c>
      <c r="B9" s="78">
        <v>3920.31</v>
      </c>
      <c r="C9" s="78">
        <v>1728.75</v>
      </c>
      <c r="D9" s="78">
        <v>2831.33</v>
      </c>
      <c r="E9" s="78" t="s">
        <v>217</v>
      </c>
      <c r="F9" s="78">
        <v>2314.0700000000002</v>
      </c>
      <c r="G9" s="79">
        <v>3740.27</v>
      </c>
      <c r="H9" s="78">
        <v>4712.79</v>
      </c>
      <c r="I9" s="78">
        <v>1182.3599999999999</v>
      </c>
      <c r="J9" s="78">
        <v>4129.9399999999996</v>
      </c>
      <c r="K9" s="78">
        <v>1332.24</v>
      </c>
      <c r="L9" s="78">
        <v>2764.39</v>
      </c>
      <c r="M9" s="80">
        <v>3139.38</v>
      </c>
      <c r="N9" s="81">
        <v>4965.28</v>
      </c>
      <c r="O9" s="78">
        <v>493.31</v>
      </c>
      <c r="P9" s="78">
        <v>4943.83</v>
      </c>
      <c r="Q9" s="78">
        <v>2477.2800000000002</v>
      </c>
      <c r="R9" s="78">
        <v>2888.37</v>
      </c>
      <c r="S9" s="79">
        <v>2613.58</v>
      </c>
      <c r="T9" s="245" t="s">
        <v>406</v>
      </c>
      <c r="U9" s="82">
        <v>88.52</v>
      </c>
      <c r="V9" s="82">
        <v>931.73</v>
      </c>
      <c r="W9" s="82">
        <v>464.41</v>
      </c>
      <c r="X9" s="82">
        <v>542.29999999999995</v>
      </c>
      <c r="Y9" s="82">
        <v>394.41</v>
      </c>
      <c r="Z9" s="83">
        <v>198.86</v>
      </c>
      <c r="AA9" s="84">
        <v>2620.23</v>
      </c>
      <c r="AB9" s="121"/>
      <c r="AC9" s="121"/>
      <c r="AD9" s="121"/>
      <c r="AE9" s="121"/>
      <c r="AF9" s="121"/>
      <c r="AG9" s="121"/>
      <c r="AH9" s="121"/>
      <c r="AI9" s="121"/>
      <c r="AJ9" s="121"/>
      <c r="AK9" s="121"/>
      <c r="AL9" s="121"/>
      <c r="AM9" s="121"/>
      <c r="AN9" s="121"/>
      <c r="AO9" s="121"/>
      <c r="AP9" s="121"/>
      <c r="AQ9" s="121"/>
      <c r="AR9" s="121"/>
      <c r="AS9" s="220"/>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row>
    <row r="10" spans="1:77">
      <c r="A10" s="221"/>
      <c r="B10" s="121"/>
      <c r="C10" s="121"/>
      <c r="D10" s="121"/>
      <c r="E10" s="121"/>
      <c r="F10" s="246">
        <v>10794.46</v>
      </c>
      <c r="G10" s="246"/>
      <c r="H10" s="246"/>
      <c r="I10" s="246"/>
      <c r="J10" s="246"/>
      <c r="K10" s="246"/>
      <c r="L10" s="246"/>
      <c r="M10" s="246"/>
      <c r="N10" s="121"/>
      <c r="O10" s="121"/>
      <c r="P10" s="121"/>
      <c r="Q10" s="247"/>
      <c r="R10" s="246">
        <v>15768.08</v>
      </c>
      <c r="S10" s="121"/>
      <c r="T10" s="121"/>
      <c r="U10" s="121"/>
      <c r="V10" s="121"/>
      <c r="W10" s="121"/>
      <c r="X10" s="248"/>
      <c r="Y10" s="246">
        <v>2421.38</v>
      </c>
      <c r="Z10" s="121"/>
      <c r="AA10" s="121"/>
      <c r="AB10" s="121"/>
      <c r="AC10" s="121"/>
      <c r="AD10" s="121"/>
      <c r="AE10" s="121"/>
      <c r="AF10" s="121"/>
      <c r="AG10" s="121"/>
      <c r="AH10" s="121"/>
      <c r="AI10" s="121"/>
      <c r="AJ10" s="121"/>
      <c r="AK10" s="121"/>
      <c r="AL10" s="121"/>
      <c r="AM10" s="121"/>
      <c r="AN10" s="121"/>
      <c r="AO10" s="121"/>
      <c r="AP10" s="121"/>
      <c r="AQ10" s="121"/>
      <c r="AR10" s="121"/>
      <c r="AS10" s="220"/>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row>
    <row r="11" spans="1:77">
      <c r="A11" s="221"/>
      <c r="B11" s="121"/>
      <c r="C11" s="121"/>
      <c r="D11" s="121"/>
      <c r="E11" s="121"/>
      <c r="F11" s="121"/>
      <c r="G11" s="246"/>
      <c r="H11" s="121"/>
      <c r="I11" s="121"/>
      <c r="J11" s="121"/>
      <c r="K11" s="246"/>
      <c r="L11" s="121"/>
      <c r="M11" s="246"/>
      <c r="N11" s="121"/>
      <c r="O11" s="121"/>
      <c r="P11" s="121"/>
      <c r="Q11" s="121"/>
      <c r="R11" s="121"/>
      <c r="S11" s="121"/>
      <c r="T11" s="249"/>
      <c r="U11" s="121"/>
      <c r="V11" s="121"/>
      <c r="W11" s="121"/>
      <c r="X11" s="247"/>
      <c r="Y11" s="121">
        <v>92.410654129999998</v>
      </c>
      <c r="Z11" s="121" t="s">
        <v>218</v>
      </c>
      <c r="AA11" s="121"/>
      <c r="AB11" s="121"/>
      <c r="AC11" s="121"/>
      <c r="AD11" s="121"/>
      <c r="AE11" s="121"/>
      <c r="AF11" s="121"/>
      <c r="AG11" s="121"/>
      <c r="AH11" s="121"/>
      <c r="AI11" s="121"/>
      <c r="AJ11" s="121"/>
      <c r="AK11" s="121"/>
      <c r="AL11" s="121"/>
      <c r="AM11" s="121"/>
      <c r="AN11" s="121"/>
      <c r="AO11" s="121"/>
      <c r="AP11" s="121"/>
      <c r="AQ11" s="121"/>
      <c r="AR11" s="121"/>
      <c r="AS11" s="220"/>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row>
    <row r="12" spans="1:77">
      <c r="A12" s="221"/>
      <c r="B12" s="121"/>
      <c r="C12" s="121"/>
      <c r="D12" s="121"/>
      <c r="E12" s="121"/>
      <c r="F12" s="250" t="s">
        <v>241</v>
      </c>
      <c r="G12" s="250"/>
      <c r="H12" s="250">
        <v>-0.125</v>
      </c>
      <c r="I12" s="250">
        <v>-1.4</v>
      </c>
      <c r="J12" s="250">
        <v>1</v>
      </c>
      <c r="K12" s="250">
        <v>2</v>
      </c>
      <c r="L12" s="250">
        <v>-0.1</v>
      </c>
      <c r="M12" s="121"/>
      <c r="N12" s="121"/>
      <c r="O12" s="121"/>
      <c r="P12" s="121"/>
      <c r="Q12" s="247"/>
      <c r="R12" s="247"/>
      <c r="S12" s="247"/>
      <c r="T12" s="251"/>
      <c r="U12" s="251"/>
      <c r="V12" s="252"/>
      <c r="W12" s="252"/>
      <c r="X12" s="247"/>
      <c r="Y12" s="121">
        <v>16.709518889999998</v>
      </c>
      <c r="Z12" s="121" t="s">
        <v>368</v>
      </c>
      <c r="AA12" s="121"/>
      <c r="AB12" s="121"/>
      <c r="AC12" s="121"/>
      <c r="AD12" s="121"/>
      <c r="AE12" s="121"/>
      <c r="AF12" s="121"/>
      <c r="AG12" s="121"/>
      <c r="AH12" s="121"/>
      <c r="AI12" s="121"/>
      <c r="AJ12" s="121"/>
      <c r="AK12" s="121"/>
      <c r="AL12" s="121"/>
      <c r="AM12" s="121"/>
      <c r="AN12" s="121"/>
      <c r="AO12" s="121"/>
      <c r="AP12" s="121"/>
      <c r="AQ12" s="121"/>
      <c r="AR12" s="121"/>
      <c r="AS12" s="220"/>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row>
    <row r="13" spans="1:77">
      <c r="A13" s="221"/>
      <c r="B13" s="121"/>
      <c r="C13" s="121"/>
      <c r="D13" s="121"/>
      <c r="E13" s="121"/>
      <c r="F13" s="121"/>
      <c r="G13" s="121"/>
      <c r="H13" s="121"/>
      <c r="I13" s="121"/>
      <c r="J13" s="121"/>
      <c r="K13" s="121"/>
      <c r="L13" s="121"/>
      <c r="M13" s="121"/>
      <c r="N13" s="246"/>
      <c r="O13" s="253"/>
      <c r="P13" s="246"/>
      <c r="Q13" s="121"/>
      <c r="R13" s="121"/>
      <c r="S13" s="121"/>
      <c r="T13" s="121"/>
      <c r="U13" s="121"/>
      <c r="V13" s="121"/>
      <c r="W13" s="254"/>
      <c r="X13" s="254"/>
      <c r="Y13" s="254"/>
      <c r="Z13" s="121"/>
      <c r="AA13" s="121"/>
      <c r="AB13" s="121"/>
      <c r="AC13" s="246"/>
      <c r="AD13" s="121"/>
      <c r="AE13" s="121"/>
      <c r="AF13" s="121"/>
      <c r="AG13" s="121"/>
      <c r="AH13" s="121"/>
      <c r="AI13" s="121"/>
      <c r="AJ13" s="121"/>
      <c r="AK13" s="121"/>
      <c r="AL13" s="121"/>
      <c r="AM13" s="121"/>
      <c r="AN13" s="121"/>
      <c r="AO13" s="121"/>
      <c r="AP13" s="121"/>
      <c r="AQ13" s="121"/>
      <c r="AR13" s="121"/>
      <c r="AS13" s="220"/>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row>
    <row r="14" spans="1:77">
      <c r="A14" s="221"/>
      <c r="B14" s="121"/>
      <c r="C14" s="121"/>
      <c r="D14" s="121"/>
      <c r="E14" s="121"/>
      <c r="F14" s="121"/>
      <c r="G14" s="121"/>
      <c r="H14" s="246"/>
      <c r="I14" s="121"/>
      <c r="J14" s="121"/>
      <c r="K14" s="121"/>
      <c r="L14" s="121"/>
      <c r="M14" s="121"/>
      <c r="N14" s="121"/>
      <c r="O14" s="121"/>
      <c r="P14" s="121"/>
      <c r="Q14" s="121"/>
      <c r="R14" s="121"/>
      <c r="S14" s="121"/>
      <c r="T14" s="121"/>
      <c r="U14" s="121"/>
      <c r="V14" s="121"/>
      <c r="W14" s="252"/>
      <c r="X14" s="252"/>
      <c r="Y14" s="252"/>
      <c r="Z14" s="121"/>
      <c r="AA14" s="121"/>
      <c r="AB14" s="121"/>
      <c r="AC14" s="121"/>
      <c r="AD14" s="121"/>
      <c r="AE14" s="121"/>
      <c r="AF14" s="121"/>
      <c r="AG14" s="121"/>
      <c r="AH14" s="121"/>
      <c r="AI14" s="121"/>
      <c r="AJ14" s="121"/>
      <c r="AK14" s="121"/>
      <c r="AL14" s="121"/>
      <c r="AM14" s="121"/>
      <c r="AN14" s="121"/>
      <c r="AO14" s="121"/>
      <c r="AP14" s="121"/>
      <c r="AQ14" s="121"/>
      <c r="AR14" s="121"/>
      <c r="AS14" s="220"/>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row>
    <row r="15" spans="1:77">
      <c r="A15" s="221"/>
      <c r="B15" s="121"/>
      <c r="C15" s="121"/>
      <c r="D15" s="121"/>
      <c r="E15" s="121"/>
      <c r="F15" s="121"/>
      <c r="G15" s="121"/>
      <c r="H15" s="121"/>
      <c r="I15" s="121"/>
      <c r="J15" s="121"/>
      <c r="K15" s="121"/>
      <c r="L15" s="121"/>
      <c r="M15" s="246"/>
      <c r="N15" s="121"/>
      <c r="O15" s="246"/>
      <c r="P15" s="121"/>
      <c r="Q15" s="121"/>
      <c r="R15" s="121"/>
      <c r="S15" s="121"/>
      <c r="T15" s="121"/>
      <c r="U15" s="121"/>
      <c r="V15" s="121"/>
      <c r="W15" s="252"/>
      <c r="X15" s="252"/>
      <c r="Y15" s="252"/>
      <c r="Z15" s="121"/>
      <c r="AA15" s="121"/>
      <c r="AB15" s="121"/>
      <c r="AC15" s="121"/>
      <c r="AD15" s="121"/>
      <c r="AE15" s="121"/>
      <c r="AF15" s="121"/>
      <c r="AG15" s="121"/>
      <c r="AH15" s="121"/>
      <c r="AI15" s="121"/>
      <c r="AJ15" s="121"/>
      <c r="AK15" s="121"/>
      <c r="AL15" s="121"/>
      <c r="AM15" s="121"/>
      <c r="AN15" s="121"/>
      <c r="AO15" s="121"/>
      <c r="AP15" s="121"/>
      <c r="AQ15" s="121"/>
      <c r="AR15" s="121"/>
      <c r="AS15" s="220"/>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row>
    <row r="16" spans="1:77">
      <c r="A16" s="221"/>
      <c r="B16" s="121"/>
      <c r="C16" s="121"/>
      <c r="D16" s="121"/>
      <c r="E16" s="121"/>
      <c r="F16" s="121"/>
      <c r="G16" s="121"/>
      <c r="H16" s="121"/>
      <c r="I16" s="121"/>
      <c r="J16" s="121"/>
      <c r="K16" s="121"/>
      <c r="L16" s="121"/>
      <c r="M16" s="246"/>
      <c r="N16" s="121"/>
      <c r="O16" s="246"/>
      <c r="P16" s="121"/>
      <c r="Q16" s="121"/>
      <c r="R16" s="121"/>
      <c r="S16" s="121"/>
      <c r="T16" s="121"/>
      <c r="U16" s="121"/>
      <c r="V16" s="121"/>
      <c r="W16" s="252"/>
      <c r="X16" s="252"/>
      <c r="Y16" s="252"/>
      <c r="Z16" s="121"/>
      <c r="AA16" s="121"/>
      <c r="AB16" s="121"/>
      <c r="AC16" s="121"/>
      <c r="AD16" s="121"/>
      <c r="AE16" s="121"/>
      <c r="AF16" s="121"/>
      <c r="AG16" s="121"/>
      <c r="AH16" s="121"/>
      <c r="AI16" s="121"/>
      <c r="AJ16" s="121"/>
      <c r="AK16" s="121"/>
      <c r="AL16" s="121"/>
      <c r="AM16" s="121"/>
      <c r="AN16" s="121"/>
      <c r="AO16" s="121"/>
      <c r="AP16" s="121"/>
      <c r="AQ16" s="121"/>
      <c r="AR16" s="121"/>
      <c r="AS16" s="220"/>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row>
    <row r="17" spans="1:77">
      <c r="A17" s="221"/>
      <c r="B17" s="121"/>
      <c r="C17" s="121"/>
      <c r="D17" s="121"/>
      <c r="E17" s="121"/>
      <c r="F17" s="121"/>
      <c r="G17" s="121"/>
      <c r="H17" s="121"/>
      <c r="I17" s="121"/>
      <c r="J17" s="121"/>
      <c r="K17" s="121"/>
      <c r="L17" s="121"/>
      <c r="M17" s="121"/>
      <c r="N17" s="121"/>
      <c r="O17" s="121"/>
      <c r="P17" s="121"/>
      <c r="Q17" s="121"/>
      <c r="R17" s="121"/>
      <c r="S17" s="121"/>
      <c r="T17" s="121"/>
      <c r="U17" s="121"/>
      <c r="V17" s="121"/>
      <c r="W17" s="252"/>
      <c r="X17" s="252"/>
      <c r="Y17" s="252"/>
      <c r="Z17" s="121"/>
      <c r="AA17" s="121"/>
      <c r="AB17" s="121"/>
      <c r="AC17" s="121"/>
      <c r="AD17" s="121"/>
      <c r="AE17" s="121"/>
      <c r="AF17" s="121"/>
      <c r="AG17" s="121"/>
      <c r="AH17" s="121"/>
      <c r="AI17" s="121"/>
      <c r="AJ17" s="121"/>
      <c r="AK17" s="121"/>
      <c r="AL17" s="121"/>
      <c r="AM17" s="121"/>
      <c r="AN17" s="121"/>
      <c r="AO17" s="121"/>
      <c r="AP17" s="121"/>
      <c r="AQ17" s="121"/>
      <c r="AR17" s="121"/>
      <c r="AS17" s="220"/>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row>
    <row r="18" spans="1:77" ht="16.5" thickBot="1">
      <c r="A18" s="221"/>
      <c r="B18" s="391"/>
      <c r="C18" s="393">
        <v>2015</v>
      </c>
      <c r="D18" s="394"/>
      <c r="E18" s="394"/>
      <c r="F18" s="395"/>
      <c r="G18" s="396">
        <v>2035</v>
      </c>
      <c r="H18" s="394"/>
      <c r="I18" s="394"/>
      <c r="J18" s="397"/>
      <c r="K18" s="393">
        <v>2050</v>
      </c>
      <c r="L18" s="394"/>
      <c r="M18" s="394"/>
      <c r="N18" s="397"/>
      <c r="O18" s="121"/>
      <c r="P18" s="121"/>
      <c r="Q18" s="121"/>
      <c r="R18" s="121"/>
      <c r="S18" s="121"/>
      <c r="T18" s="121"/>
      <c r="U18" s="121"/>
      <c r="V18" s="121"/>
      <c r="W18" s="252"/>
      <c r="X18" s="252"/>
      <c r="Y18" s="252"/>
      <c r="Z18" s="121"/>
      <c r="AA18" s="121"/>
      <c r="AB18" s="121"/>
      <c r="AC18" s="121"/>
      <c r="AD18" s="121"/>
      <c r="AE18" s="121"/>
      <c r="AF18" s="121"/>
      <c r="AG18" s="121"/>
      <c r="AH18" s="121"/>
      <c r="AI18" s="121"/>
      <c r="AJ18" s="121"/>
      <c r="AK18" s="121"/>
      <c r="AL18" s="121"/>
      <c r="AM18" s="121"/>
      <c r="AN18" s="121"/>
      <c r="AO18" s="121"/>
      <c r="AP18" s="121"/>
      <c r="AQ18" s="121"/>
      <c r="AR18" s="121"/>
      <c r="AS18" s="220"/>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row>
    <row r="19" spans="1:77">
      <c r="A19" s="221"/>
      <c r="B19" s="392"/>
      <c r="C19" s="86" t="s">
        <v>219</v>
      </c>
      <c r="D19" s="86" t="s">
        <v>220</v>
      </c>
      <c r="E19" s="86" t="s">
        <v>216</v>
      </c>
      <c r="F19" s="86" t="s">
        <v>221</v>
      </c>
      <c r="G19" s="86" t="s">
        <v>219</v>
      </c>
      <c r="H19" s="86" t="s">
        <v>220</v>
      </c>
      <c r="I19" s="86" t="s">
        <v>216</v>
      </c>
      <c r="J19" s="86" t="s">
        <v>221</v>
      </c>
      <c r="K19" s="86" t="s">
        <v>219</v>
      </c>
      <c r="L19" s="86" t="s">
        <v>220</v>
      </c>
      <c r="M19" s="86" t="s">
        <v>216</v>
      </c>
      <c r="N19" s="86" t="s">
        <v>221</v>
      </c>
      <c r="O19" s="121"/>
      <c r="P19" s="121"/>
      <c r="Q19" s="121"/>
      <c r="R19" s="121"/>
      <c r="S19" s="121"/>
      <c r="T19" s="121"/>
      <c r="U19" s="121"/>
      <c r="V19" s="398" t="s">
        <v>407</v>
      </c>
      <c r="W19" s="399"/>
      <c r="X19" s="399"/>
      <c r="Y19" s="400"/>
      <c r="Z19" s="121"/>
      <c r="AA19" s="121"/>
      <c r="AB19" s="121"/>
      <c r="AC19" s="121"/>
      <c r="AD19" s="121"/>
      <c r="AE19" s="121"/>
      <c r="AF19" s="121"/>
      <c r="AG19" s="121"/>
      <c r="AH19" s="121"/>
      <c r="AI19" s="121"/>
      <c r="AJ19" s="121"/>
      <c r="AK19" s="121"/>
      <c r="AL19" s="121"/>
      <c r="AM19" s="121"/>
      <c r="AN19" s="121"/>
      <c r="AO19" s="121"/>
      <c r="AP19" s="121"/>
      <c r="AQ19" s="121"/>
      <c r="AR19" s="121"/>
      <c r="AS19" s="220"/>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row>
    <row r="20" spans="1:77">
      <c r="A20" s="221"/>
      <c r="B20" s="87" t="s">
        <v>235</v>
      </c>
      <c r="C20" s="88">
        <v>72432704</v>
      </c>
      <c r="D20" s="88">
        <v>26780508</v>
      </c>
      <c r="E20" s="88">
        <v>27719365</v>
      </c>
      <c r="F20" s="89">
        <v>126932577</v>
      </c>
      <c r="G20" s="88">
        <v>94759221.629999995</v>
      </c>
      <c r="H20" s="88">
        <v>35035280.369999997</v>
      </c>
      <c r="I20" s="90">
        <v>23266104</v>
      </c>
      <c r="J20" s="91">
        <v>153060606</v>
      </c>
      <c r="K20" s="88">
        <v>105794562.48</v>
      </c>
      <c r="L20" s="88">
        <v>39115371.520000003</v>
      </c>
      <c r="M20" s="90">
        <v>19369368</v>
      </c>
      <c r="N20" s="91">
        <v>164279302</v>
      </c>
      <c r="O20" s="121"/>
      <c r="P20" s="121"/>
      <c r="Q20" s="255"/>
      <c r="R20" s="121"/>
      <c r="S20" s="121"/>
      <c r="T20" s="121"/>
      <c r="U20" s="121"/>
      <c r="V20" s="284"/>
      <c r="W20" s="279" t="s">
        <v>359</v>
      </c>
      <c r="X20" s="279" t="s">
        <v>360</v>
      </c>
      <c r="Y20" s="285" t="s">
        <v>361</v>
      </c>
      <c r="Z20" s="121"/>
      <c r="AA20" s="121"/>
      <c r="AB20" s="121"/>
      <c r="AC20" s="121"/>
      <c r="AD20" s="121"/>
      <c r="AE20" s="121"/>
      <c r="AF20" s="121"/>
      <c r="AG20" s="121"/>
      <c r="AH20" s="121"/>
      <c r="AI20" s="121"/>
      <c r="AJ20" s="121"/>
      <c r="AK20" s="121"/>
      <c r="AL20" s="121"/>
      <c r="AM20" s="121"/>
      <c r="AN20" s="121"/>
      <c r="AO20" s="121"/>
      <c r="AP20" s="121"/>
      <c r="AQ20" s="121"/>
      <c r="AR20" s="121"/>
      <c r="AS20" s="220"/>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row>
    <row r="21" spans="1:77">
      <c r="A21" s="221"/>
      <c r="B21" s="87" t="s">
        <v>236</v>
      </c>
      <c r="C21" s="88">
        <v>7223.4</v>
      </c>
      <c r="D21" s="88">
        <v>3571.06</v>
      </c>
      <c r="E21" s="88">
        <v>3740.27</v>
      </c>
      <c r="F21" s="89">
        <v>14534.73</v>
      </c>
      <c r="G21" s="88">
        <v>9449.93</v>
      </c>
      <c r="H21" s="88">
        <v>4671.8</v>
      </c>
      <c r="I21" s="88">
        <v>3139.38</v>
      </c>
      <c r="J21" s="89">
        <v>17261.099999999999</v>
      </c>
      <c r="K21" s="88">
        <v>10550.43</v>
      </c>
      <c r="L21" s="88">
        <v>5215.8599999999997</v>
      </c>
      <c r="M21" s="88">
        <v>2613.58</v>
      </c>
      <c r="N21" s="89">
        <v>18379.87</v>
      </c>
      <c r="O21" s="121"/>
      <c r="P21" s="121"/>
      <c r="Q21" s="121"/>
      <c r="R21" s="121"/>
      <c r="S21" s="121"/>
      <c r="T21" s="121"/>
      <c r="U21" s="121"/>
      <c r="V21" s="286" t="s">
        <v>234</v>
      </c>
      <c r="W21" s="280">
        <v>1095.2</v>
      </c>
      <c r="X21" s="281">
        <v>1590.04</v>
      </c>
      <c r="Y21" s="287">
        <v>2421.38</v>
      </c>
      <c r="Z21" s="121"/>
      <c r="AA21" s="121"/>
      <c r="AB21" s="121"/>
      <c r="AC21" s="121"/>
      <c r="AD21" s="121"/>
      <c r="AE21" s="121"/>
      <c r="AF21" s="121"/>
      <c r="AG21" s="121"/>
      <c r="AH21" s="121"/>
      <c r="AI21" s="121"/>
      <c r="AJ21" s="121"/>
      <c r="AK21" s="121"/>
      <c r="AL21" s="121"/>
      <c r="AM21" s="121"/>
      <c r="AN21" s="121"/>
      <c r="AO21" s="121"/>
      <c r="AP21" s="121"/>
      <c r="AQ21" s="121"/>
      <c r="AR21" s="121"/>
      <c r="AS21" s="220"/>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row>
    <row r="22" spans="1:77">
      <c r="A22" s="221"/>
      <c r="B22" s="121"/>
      <c r="C22" s="121"/>
      <c r="D22" s="121"/>
      <c r="E22" s="121"/>
      <c r="F22" s="121"/>
      <c r="G22" s="121"/>
      <c r="H22" s="246"/>
      <c r="I22" s="246"/>
      <c r="J22" s="121"/>
      <c r="K22" s="121"/>
      <c r="L22" s="121"/>
      <c r="M22" s="121"/>
      <c r="N22" s="121"/>
      <c r="O22" s="121"/>
      <c r="P22" s="121"/>
      <c r="Q22" s="121"/>
      <c r="R22" s="254"/>
      <c r="S22" s="248"/>
      <c r="T22" s="254"/>
      <c r="U22" s="254"/>
      <c r="V22" s="288" t="s">
        <v>216</v>
      </c>
      <c r="W22" s="282">
        <v>142.5</v>
      </c>
      <c r="X22" s="283">
        <v>105.9</v>
      </c>
      <c r="Y22" s="285">
        <v>198.86</v>
      </c>
      <c r="Z22" s="121"/>
      <c r="AA22" s="121"/>
      <c r="AB22" s="121"/>
      <c r="AC22" s="121"/>
      <c r="AD22" s="121"/>
      <c r="AE22" s="121"/>
      <c r="AF22" s="121"/>
      <c r="AG22" s="121"/>
      <c r="AH22" s="121"/>
      <c r="AI22" s="121"/>
      <c r="AJ22" s="121"/>
      <c r="AK22" s="121"/>
      <c r="AL22" s="121"/>
      <c r="AM22" s="121"/>
      <c r="AN22" s="121"/>
      <c r="AO22" s="121"/>
      <c r="AP22" s="121"/>
      <c r="AQ22" s="121"/>
      <c r="AR22" s="121"/>
      <c r="AS22" s="220"/>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row>
    <row r="23" spans="1:77" ht="16.5" thickBot="1">
      <c r="A23" s="221"/>
      <c r="B23" s="121"/>
      <c r="C23" s="121"/>
      <c r="D23" s="121"/>
      <c r="E23" s="121"/>
      <c r="F23" s="121"/>
      <c r="G23" s="121"/>
      <c r="H23" s="121"/>
      <c r="I23" s="246"/>
      <c r="J23" s="121"/>
      <c r="K23" s="121"/>
      <c r="L23" s="121"/>
      <c r="M23" s="246"/>
      <c r="N23" s="121"/>
      <c r="O23" s="121"/>
      <c r="P23" s="121"/>
      <c r="Q23" s="121"/>
      <c r="R23" s="252"/>
      <c r="S23" s="256"/>
      <c r="T23" s="256"/>
      <c r="U23" s="256"/>
      <c r="V23" s="289"/>
      <c r="W23" s="290">
        <v>1237.7</v>
      </c>
      <c r="X23" s="291">
        <v>1695.9</v>
      </c>
      <c r="Y23" s="292">
        <v>2620.23</v>
      </c>
      <c r="Z23" s="121"/>
      <c r="AA23" s="121"/>
      <c r="AB23" s="121"/>
      <c r="AC23" s="121"/>
      <c r="AD23" s="121"/>
      <c r="AE23" s="121"/>
      <c r="AF23" s="121"/>
      <c r="AG23" s="121"/>
      <c r="AH23" s="121"/>
      <c r="AI23" s="121"/>
      <c r="AJ23" s="121"/>
      <c r="AK23" s="121"/>
      <c r="AL23" s="121"/>
      <c r="AM23" s="121"/>
      <c r="AN23" s="121"/>
      <c r="AO23" s="121"/>
      <c r="AP23" s="121"/>
      <c r="AQ23" s="121"/>
      <c r="AR23" s="121"/>
      <c r="AS23" s="220"/>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row>
    <row r="24" spans="1:77">
      <c r="A24" s="221"/>
      <c r="B24" s="121"/>
      <c r="C24" s="121"/>
      <c r="D24" s="121"/>
      <c r="E24" s="121"/>
      <c r="F24" s="121"/>
      <c r="G24" s="121"/>
      <c r="H24" s="121"/>
      <c r="I24" s="121"/>
      <c r="J24" s="257"/>
      <c r="K24" s="121"/>
      <c r="L24" s="121"/>
      <c r="M24" s="121"/>
      <c r="N24" s="121"/>
      <c r="O24" s="121"/>
      <c r="P24" s="121"/>
      <c r="Q24" s="121"/>
      <c r="R24" s="252"/>
      <c r="S24" s="256"/>
      <c r="T24" s="121"/>
      <c r="U24" s="256"/>
      <c r="V24" s="252"/>
      <c r="W24" s="253"/>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220"/>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7">
      <c r="A25" s="221"/>
      <c r="B25" s="121"/>
      <c r="C25" s="121"/>
      <c r="D25" s="121"/>
      <c r="E25" s="121"/>
      <c r="F25" s="121"/>
      <c r="G25" s="121"/>
      <c r="H25" s="121"/>
      <c r="I25" s="121"/>
      <c r="J25" s="121"/>
      <c r="K25" s="121"/>
      <c r="L25" s="121"/>
      <c r="M25" s="121"/>
      <c r="N25" s="121"/>
      <c r="O25" s="121"/>
      <c r="P25" s="121"/>
      <c r="Q25" s="121"/>
      <c r="R25" s="252"/>
      <c r="S25" s="256"/>
      <c r="T25" s="121"/>
      <c r="U25" s="256"/>
      <c r="V25" s="252"/>
      <c r="W25" s="253"/>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220"/>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row>
    <row r="26" spans="1:77">
      <c r="A26" s="221"/>
      <c r="B26" s="121"/>
      <c r="C26" s="121"/>
      <c r="D26" s="121"/>
      <c r="E26" s="121"/>
      <c r="F26" s="121"/>
      <c r="G26" s="121"/>
      <c r="H26" s="121"/>
      <c r="I26" s="121"/>
      <c r="J26" s="121"/>
      <c r="K26" s="121"/>
      <c r="L26" s="121"/>
      <c r="M26" s="121"/>
      <c r="N26" s="121"/>
      <c r="O26" s="121"/>
      <c r="P26" s="121"/>
      <c r="Q26" s="121"/>
      <c r="R26" s="252"/>
      <c r="S26" s="256"/>
      <c r="T26" s="121"/>
      <c r="U26" s="256"/>
      <c r="V26" s="252"/>
      <c r="W26" s="253"/>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220"/>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row>
    <row r="27" spans="1:77">
      <c r="A27" s="221"/>
      <c r="B27" s="121"/>
      <c r="C27" s="121"/>
      <c r="D27" s="121"/>
      <c r="E27" s="121"/>
      <c r="F27" s="121"/>
      <c r="G27" s="121"/>
      <c r="H27" s="121"/>
      <c r="I27" s="121"/>
      <c r="J27" s="121"/>
      <c r="K27" s="121"/>
      <c r="L27" s="121"/>
      <c r="M27" s="121"/>
      <c r="N27" s="121"/>
      <c r="O27" s="121"/>
      <c r="P27" s="121"/>
      <c r="Q27" s="121"/>
      <c r="R27" s="252"/>
      <c r="S27" s="256"/>
      <c r="T27" s="121"/>
      <c r="U27" s="256"/>
      <c r="V27" s="252"/>
      <c r="W27" s="253"/>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220"/>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row>
    <row r="28" spans="1:77">
      <c r="A28" s="221"/>
      <c r="B28" s="121"/>
      <c r="C28" s="121"/>
      <c r="D28" s="121"/>
      <c r="E28" s="121"/>
      <c r="F28" s="121"/>
      <c r="G28" s="121"/>
      <c r="H28" s="121"/>
      <c r="I28" s="121"/>
      <c r="J28" s="121"/>
      <c r="K28" s="121"/>
      <c r="L28" s="121"/>
      <c r="M28" s="121"/>
      <c r="N28" s="121"/>
      <c r="O28" s="121"/>
      <c r="P28" s="121"/>
      <c r="Q28" s="121"/>
      <c r="R28" s="252"/>
      <c r="S28" s="256"/>
      <c r="T28" s="121"/>
      <c r="U28" s="256"/>
      <c r="V28" s="252"/>
      <c r="W28" s="253"/>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220"/>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row>
    <row r="29" spans="1:77">
      <c r="A29" s="221"/>
      <c r="B29" s="121"/>
      <c r="C29" s="121"/>
      <c r="D29" s="121"/>
      <c r="E29" s="121"/>
      <c r="F29" s="121"/>
      <c r="G29" s="121"/>
      <c r="H29" s="121"/>
      <c r="I29" s="121"/>
      <c r="J29" s="121"/>
      <c r="K29" s="121"/>
      <c r="L29" s="121"/>
      <c r="M29" s="121"/>
      <c r="N29" s="121"/>
      <c r="O29" s="121"/>
      <c r="P29" s="121"/>
      <c r="Q29" s="121"/>
      <c r="R29" s="252"/>
      <c r="S29" s="251"/>
      <c r="T29" s="253"/>
      <c r="U29" s="256"/>
      <c r="V29" s="252"/>
      <c r="W29" s="253"/>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220"/>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row>
    <row r="30" spans="1:77">
      <c r="A30" s="2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220"/>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row>
    <row r="31" spans="1:77">
      <c r="A31" s="2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220"/>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row>
    <row r="32" spans="1:77">
      <c r="A32" s="221"/>
      <c r="B32" s="121"/>
      <c r="C32" s="121"/>
      <c r="D32" s="121"/>
      <c r="E32" s="121"/>
      <c r="F32" s="121"/>
      <c r="G32" s="121"/>
      <c r="H32" s="121"/>
      <c r="I32" s="121"/>
      <c r="J32" s="246"/>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220"/>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row>
    <row r="33" spans="1:77" ht="16.5" thickBot="1">
      <c r="A33" s="2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220"/>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row>
    <row r="34" spans="1:77" ht="32.25" thickBot="1">
      <c r="A34" s="375" t="s">
        <v>119</v>
      </c>
      <c r="B34" s="376"/>
      <c r="C34" s="92" t="s">
        <v>224</v>
      </c>
      <c r="D34" s="93" t="s">
        <v>225</v>
      </c>
      <c r="E34" s="94" t="s">
        <v>226</v>
      </c>
      <c r="F34" s="92" t="s">
        <v>227</v>
      </c>
      <c r="G34" s="93" t="s">
        <v>228</v>
      </c>
      <c r="H34" s="94" t="s">
        <v>229</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220"/>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row>
    <row r="35" spans="1:77">
      <c r="A35" s="377" t="s">
        <v>234</v>
      </c>
      <c r="B35" s="95" t="s">
        <v>230</v>
      </c>
      <c r="C35" s="96">
        <v>36556582</v>
      </c>
      <c r="D35" s="97">
        <v>43316151</v>
      </c>
      <c r="E35" s="97">
        <v>45640076</v>
      </c>
      <c r="F35" s="98">
        <v>3920</v>
      </c>
      <c r="G35" s="99">
        <v>4713</v>
      </c>
      <c r="H35" s="100">
        <v>4965</v>
      </c>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220"/>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row>
    <row r="36" spans="1:77" ht="30">
      <c r="A36" s="378"/>
      <c r="B36" s="95" t="s">
        <v>231</v>
      </c>
      <c r="C36" s="101">
        <v>16120437</v>
      </c>
      <c r="D36" s="102">
        <v>10867303</v>
      </c>
      <c r="E36" s="102">
        <v>4529180</v>
      </c>
      <c r="F36" s="103">
        <v>1729</v>
      </c>
      <c r="G36" s="104">
        <v>1182</v>
      </c>
      <c r="H36" s="105">
        <v>493</v>
      </c>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220"/>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row>
    <row r="37" spans="1:77">
      <c r="A37" s="378"/>
      <c r="B37" s="95" t="s">
        <v>259</v>
      </c>
      <c r="C37" s="101">
        <v>26401976</v>
      </c>
      <c r="D37" s="102">
        <v>37959030</v>
      </c>
      <c r="E37" s="102">
        <v>45434727</v>
      </c>
      <c r="F37" s="103">
        <v>2831</v>
      </c>
      <c r="G37" s="104">
        <v>4130</v>
      </c>
      <c r="H37" s="105">
        <v>4944</v>
      </c>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220"/>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row>
    <row r="38" spans="1:77">
      <c r="A38" s="378"/>
      <c r="B38" s="95" t="s">
        <v>260</v>
      </c>
      <c r="C38" s="106" t="s">
        <v>222</v>
      </c>
      <c r="D38" s="107">
        <v>12244848</v>
      </c>
      <c r="E38" s="102">
        <v>22764183</v>
      </c>
      <c r="F38" s="103" t="s">
        <v>223</v>
      </c>
      <c r="G38" s="104">
        <v>1332</v>
      </c>
      <c r="H38" s="105">
        <v>2477</v>
      </c>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220"/>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row>
    <row r="39" spans="1:77">
      <c r="A39" s="379"/>
      <c r="B39" s="95" t="s">
        <v>233</v>
      </c>
      <c r="C39" s="101">
        <v>21578538</v>
      </c>
      <c r="D39" s="102">
        <v>25408061</v>
      </c>
      <c r="E39" s="102">
        <v>26542607</v>
      </c>
      <c r="F39" s="103">
        <v>2314</v>
      </c>
      <c r="G39" s="104">
        <v>2764</v>
      </c>
      <c r="H39" s="105">
        <v>2888</v>
      </c>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220"/>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row>
    <row r="40" spans="1:77" ht="16.5" thickBot="1">
      <c r="A40" s="380" t="s">
        <v>216</v>
      </c>
      <c r="B40" s="381"/>
      <c r="C40" s="108">
        <v>26275043</v>
      </c>
      <c r="D40" s="109">
        <v>23265212</v>
      </c>
      <c r="E40" s="109">
        <v>19368530</v>
      </c>
      <c r="F40" s="110">
        <v>3740</v>
      </c>
      <c r="G40" s="111">
        <v>3139</v>
      </c>
      <c r="H40" s="112">
        <v>2614</v>
      </c>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220"/>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row>
    <row r="41" spans="1:77" ht="16.5" thickBot="1">
      <c r="A41" s="375" t="s">
        <v>221</v>
      </c>
      <c r="B41" s="382"/>
      <c r="C41" s="113">
        <v>126932577</v>
      </c>
      <c r="D41" s="113">
        <v>153060606</v>
      </c>
      <c r="E41" s="113">
        <v>164279302</v>
      </c>
      <c r="F41" s="114">
        <v>14535</v>
      </c>
      <c r="G41" s="115">
        <v>17261</v>
      </c>
      <c r="H41" s="116">
        <v>18382</v>
      </c>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220"/>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row>
    <row r="42" spans="1:77" ht="16.5" thickBot="1">
      <c r="A42" s="221"/>
      <c r="B42" s="121"/>
      <c r="C42" s="257"/>
      <c r="D42" s="257"/>
      <c r="E42" s="257"/>
      <c r="F42" s="257"/>
      <c r="G42" s="257"/>
      <c r="H42" s="257"/>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220"/>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row>
    <row r="43" spans="1:77" ht="16.5" thickBot="1">
      <c r="A43" s="221"/>
      <c r="B43" s="121"/>
      <c r="C43" s="257"/>
      <c r="D43" s="257"/>
      <c r="E43" s="257"/>
      <c r="F43" s="257"/>
      <c r="G43" s="257"/>
      <c r="H43" s="257"/>
      <c r="I43" s="121"/>
      <c r="J43" s="121"/>
      <c r="K43" s="121"/>
      <c r="L43" s="121"/>
      <c r="M43" s="121"/>
      <c r="N43" s="121"/>
      <c r="O43" s="121"/>
      <c r="P43" s="121"/>
      <c r="Q43" s="121"/>
      <c r="R43" s="121"/>
      <c r="S43" s="121"/>
      <c r="T43" s="121"/>
      <c r="U43" s="121"/>
      <c r="V43" s="121"/>
      <c r="W43" s="386" t="s">
        <v>247</v>
      </c>
      <c r="X43" s="387"/>
      <c r="Y43" s="387"/>
      <c r="Z43" s="387"/>
      <c r="AA43" s="388"/>
      <c r="AB43" s="121"/>
      <c r="AC43" s="121"/>
      <c r="AD43" s="383" t="s">
        <v>246</v>
      </c>
      <c r="AE43" s="384"/>
      <c r="AF43" s="385"/>
      <c r="AG43" s="121"/>
      <c r="AH43" s="121"/>
      <c r="AI43" s="121"/>
      <c r="AJ43" s="121"/>
      <c r="AK43" s="121"/>
      <c r="AL43" s="121"/>
      <c r="AM43" s="121"/>
      <c r="AN43" s="121"/>
      <c r="AO43" s="121"/>
      <c r="AP43" s="121"/>
      <c r="AQ43" s="121"/>
      <c r="AR43" s="121"/>
      <c r="AS43" s="220"/>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row>
    <row r="44" spans="1:77">
      <c r="A44" s="221"/>
      <c r="B44" s="121"/>
      <c r="C44" s="257"/>
      <c r="D44" s="257"/>
      <c r="E44" s="257"/>
      <c r="F44" s="257"/>
      <c r="G44" s="257"/>
      <c r="H44" s="257"/>
      <c r="I44" s="121"/>
      <c r="J44" s="121"/>
      <c r="K44" s="121"/>
      <c r="L44" s="121"/>
      <c r="M44" s="121"/>
      <c r="N44" s="121"/>
      <c r="O44" s="121"/>
      <c r="P44" s="121"/>
      <c r="Q44" s="121"/>
      <c r="R44" s="121"/>
      <c r="S44" s="121"/>
      <c r="T44" s="121"/>
      <c r="U44" s="121"/>
      <c r="V44" s="121"/>
      <c r="W44" s="293"/>
      <c r="X44" s="294" t="s">
        <v>362</v>
      </c>
      <c r="Y44" s="294" t="s">
        <v>363</v>
      </c>
      <c r="Z44" s="294" t="s">
        <v>365</v>
      </c>
      <c r="AA44" s="295" t="s">
        <v>364</v>
      </c>
      <c r="AB44" s="121"/>
      <c r="AC44" s="121"/>
      <c r="AD44" s="307" t="s">
        <v>242</v>
      </c>
      <c r="AE44" s="308">
        <v>412298917.94300002</v>
      </c>
      <c r="AF44" s="309">
        <v>33.310920241960474</v>
      </c>
      <c r="AG44" s="121"/>
      <c r="AH44" s="121"/>
      <c r="AI44" s="121"/>
      <c r="AJ44" s="121"/>
      <c r="AK44" s="121"/>
      <c r="AL44" s="121"/>
      <c r="AM44" s="121"/>
      <c r="AN44" s="121"/>
      <c r="AO44" s="121"/>
      <c r="AP44" s="121"/>
      <c r="AQ44" s="121"/>
      <c r="AR44" s="121"/>
      <c r="AS44" s="220"/>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row>
    <row r="45" spans="1:77">
      <c r="A45" s="221"/>
      <c r="B45" s="121"/>
      <c r="C45" s="257"/>
      <c r="D45" s="257"/>
      <c r="E45" s="257"/>
      <c r="F45" s="257"/>
      <c r="G45" s="257"/>
      <c r="H45" s="257"/>
      <c r="I45" s="121"/>
      <c r="J45" s="121"/>
      <c r="K45" s="121"/>
      <c r="L45" s="121"/>
      <c r="M45" s="121"/>
      <c r="N45" s="121"/>
      <c r="O45" s="121"/>
      <c r="P45" s="121"/>
      <c r="Q45" s="121"/>
      <c r="R45" s="121"/>
      <c r="S45" s="121"/>
      <c r="T45" s="121"/>
      <c r="U45" s="121"/>
      <c r="V45" s="121"/>
      <c r="W45" s="296" t="s">
        <v>242</v>
      </c>
      <c r="X45" s="297">
        <f>$X$49*(AF44/100)</f>
        <v>364.82119848995114</v>
      </c>
      <c r="Y45" s="297">
        <f>$Y$49*(AF44/100)</f>
        <v>529.65695621526834</v>
      </c>
      <c r="Z45" s="297">
        <v>668.12045838502547</v>
      </c>
      <c r="AA45" s="298">
        <v>806.58396055478249</v>
      </c>
      <c r="AB45" s="121"/>
      <c r="AC45" s="121"/>
      <c r="AD45" s="302" t="s">
        <v>243</v>
      </c>
      <c r="AE45" s="271">
        <v>167091004.56</v>
      </c>
      <c r="AF45" s="303">
        <v>13.499805320412463</v>
      </c>
      <c r="AG45" s="121"/>
      <c r="AH45" s="121"/>
      <c r="AI45" s="121"/>
      <c r="AJ45" s="121"/>
      <c r="AK45" s="121"/>
      <c r="AL45" s="121"/>
      <c r="AM45" s="121"/>
      <c r="AN45" s="121"/>
      <c r="AO45" s="121"/>
      <c r="AP45" s="121"/>
      <c r="AQ45" s="121"/>
      <c r="AR45" s="121"/>
      <c r="AS45" s="220"/>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row>
    <row r="46" spans="1:77">
      <c r="A46" s="221"/>
      <c r="B46" s="121"/>
      <c r="C46" s="257"/>
      <c r="D46" s="257"/>
      <c r="E46" s="257"/>
      <c r="F46" s="257"/>
      <c r="G46" s="257"/>
      <c r="H46" s="257"/>
      <c r="I46" s="121"/>
      <c r="J46" s="121"/>
      <c r="K46" s="121"/>
      <c r="L46" s="121"/>
      <c r="M46" s="121"/>
      <c r="N46" s="121"/>
      <c r="O46" s="121"/>
      <c r="P46" s="121"/>
      <c r="Q46" s="121"/>
      <c r="R46" s="121"/>
      <c r="S46" s="121"/>
      <c r="T46" s="121"/>
      <c r="U46" s="121"/>
      <c r="V46" s="121"/>
      <c r="W46" s="296" t="s">
        <v>243</v>
      </c>
      <c r="X46" s="297">
        <f>$X$49*(AF45/100)</f>
        <v>147.84986786915732</v>
      </c>
      <c r="Y46" s="297">
        <f>$Y$49*(AF45/100)</f>
        <v>214.65230451668634</v>
      </c>
      <c r="Z46" s="297">
        <v>270.76694529204485</v>
      </c>
      <c r="AA46" s="298">
        <v>326.88158606740336</v>
      </c>
      <c r="AB46" s="121"/>
      <c r="AC46" s="121"/>
      <c r="AD46" s="302" t="s">
        <v>244</v>
      </c>
      <c r="AE46" s="271">
        <v>304456336.69599998</v>
      </c>
      <c r="AF46" s="303">
        <v>24.59798051238641</v>
      </c>
      <c r="AG46" s="121"/>
      <c r="AH46" s="121"/>
      <c r="AI46" s="121"/>
      <c r="AJ46" s="121"/>
      <c r="AK46" s="121"/>
      <c r="AL46" s="121"/>
      <c r="AM46" s="121"/>
      <c r="AN46" s="121"/>
      <c r="AO46" s="121"/>
      <c r="AP46" s="121"/>
      <c r="AQ46" s="121"/>
      <c r="AR46" s="121"/>
      <c r="AS46" s="220"/>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row>
    <row r="47" spans="1:77" ht="30.95" customHeight="1">
      <c r="A47" s="221"/>
      <c r="B47" s="121"/>
      <c r="C47" s="257"/>
      <c r="D47" s="257"/>
      <c r="E47" s="257"/>
      <c r="F47" s="257"/>
      <c r="G47" s="257"/>
      <c r="H47" s="257"/>
      <c r="I47" s="121"/>
      <c r="J47" s="121"/>
      <c r="K47" s="121"/>
      <c r="L47" s="121"/>
      <c r="M47" s="121"/>
      <c r="N47" s="121"/>
      <c r="O47" s="121"/>
      <c r="P47" s="121"/>
      <c r="Q47" s="121"/>
      <c r="R47" s="121"/>
      <c r="S47" s="121"/>
      <c r="T47" s="121"/>
      <c r="U47" s="121"/>
      <c r="V47" s="121"/>
      <c r="W47" s="296" t="s">
        <v>244</v>
      </c>
      <c r="X47" s="297">
        <f>$X$49*(AF46/100)</f>
        <v>269.39708257165597</v>
      </c>
      <c r="Y47" s="297">
        <f>$Y$49*(AF46/100)</f>
        <v>391.11772933914887</v>
      </c>
      <c r="Z47" s="297">
        <v>493.36415493498549</v>
      </c>
      <c r="AA47" s="298">
        <v>595.61058053082206</v>
      </c>
      <c r="AB47" s="121"/>
      <c r="AC47" s="121"/>
      <c r="AD47" s="302" t="s">
        <v>245</v>
      </c>
      <c r="AE47" s="271">
        <v>353882734.62099999</v>
      </c>
      <c r="AF47" s="303">
        <v>28.591293925240659</v>
      </c>
      <c r="AG47" s="121"/>
      <c r="AH47" s="121"/>
      <c r="AI47" s="121"/>
      <c r="AJ47" s="121"/>
      <c r="AK47" s="121"/>
      <c r="AL47" s="121"/>
      <c r="AM47" s="121"/>
      <c r="AN47" s="121"/>
      <c r="AO47" s="121"/>
      <c r="AP47" s="121"/>
      <c r="AQ47" s="121"/>
      <c r="AR47" s="121"/>
      <c r="AS47" s="220"/>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row>
    <row r="48" spans="1:77" ht="48" thickBot="1">
      <c r="A48" s="221"/>
      <c r="B48" s="121"/>
      <c r="C48" s="121"/>
      <c r="D48" s="121"/>
      <c r="E48" s="121"/>
      <c r="F48" s="121"/>
      <c r="G48" s="121"/>
      <c r="H48" s="121"/>
      <c r="I48" s="121"/>
      <c r="J48" s="121"/>
      <c r="K48" s="121"/>
      <c r="L48" s="121"/>
      <c r="M48" s="121"/>
      <c r="N48" s="121"/>
      <c r="O48" s="121"/>
      <c r="P48" s="121"/>
      <c r="Q48" s="121"/>
      <c r="R48" s="121"/>
      <c r="S48" s="121"/>
      <c r="T48" s="121"/>
      <c r="U48" s="121"/>
      <c r="V48" s="121"/>
      <c r="W48" s="296" t="s">
        <v>245</v>
      </c>
      <c r="X48" s="297">
        <f>$X$49*(AF47/100)</f>
        <v>313.13185106923567</v>
      </c>
      <c r="Y48" s="297">
        <f>$Y$49*(AF47/100)</f>
        <v>454.61300992889653</v>
      </c>
      <c r="Z48" s="297">
        <v>573.45844138794439</v>
      </c>
      <c r="AA48" s="298">
        <v>692.30387284699225</v>
      </c>
      <c r="AB48" s="121"/>
      <c r="AC48" s="121"/>
      <c r="AD48" s="304" t="s">
        <v>2</v>
      </c>
      <c r="AE48" s="305">
        <v>1237728993.8199999</v>
      </c>
      <c r="AF48" s="306">
        <v>100.00000000000001</v>
      </c>
      <c r="AG48" s="121"/>
      <c r="AH48" s="121"/>
      <c r="AI48" s="121"/>
      <c r="AJ48" s="121"/>
      <c r="AK48" s="121"/>
      <c r="AL48" s="121"/>
      <c r="AM48" s="121"/>
      <c r="AN48" s="121"/>
      <c r="AO48" s="121"/>
      <c r="AP48" s="121"/>
      <c r="AQ48" s="121"/>
      <c r="AR48" s="121"/>
      <c r="AS48" s="220"/>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row>
    <row r="49" spans="1:77" ht="16.5" thickBot="1">
      <c r="A49" s="221"/>
      <c r="B49" s="121"/>
      <c r="C49" s="121"/>
      <c r="D49" s="121"/>
      <c r="E49" s="121"/>
      <c r="F49" s="121"/>
      <c r="G49" s="121"/>
      <c r="H49" s="121"/>
      <c r="I49" s="121"/>
      <c r="J49" s="121"/>
      <c r="K49" s="121"/>
      <c r="L49" s="121"/>
      <c r="M49" s="121"/>
      <c r="N49" s="121"/>
      <c r="O49" s="121"/>
      <c r="P49" s="121"/>
      <c r="Q49" s="121"/>
      <c r="R49" s="121"/>
      <c r="S49" s="121"/>
      <c r="T49" s="121"/>
      <c r="U49" s="121"/>
      <c r="V49" s="121"/>
      <c r="W49" s="299" t="s">
        <v>2</v>
      </c>
      <c r="X49" s="300">
        <v>1095.2</v>
      </c>
      <c r="Y49" s="300">
        <v>1590.04</v>
      </c>
      <c r="Z49" s="300">
        <v>2005.71</v>
      </c>
      <c r="AA49" s="301">
        <v>2421.38</v>
      </c>
      <c r="AB49" s="121"/>
      <c r="AC49" s="121"/>
      <c r="AD49" s="121"/>
      <c r="AE49" s="121"/>
      <c r="AF49" s="121"/>
      <c r="AG49" s="121"/>
      <c r="AH49" s="121"/>
      <c r="AI49" s="121"/>
      <c r="AJ49" s="121"/>
      <c r="AK49" s="121"/>
      <c r="AL49" s="121"/>
      <c r="AM49" s="121"/>
      <c r="AN49" s="121"/>
      <c r="AO49" s="121"/>
      <c r="AP49" s="121"/>
      <c r="AQ49" s="121"/>
      <c r="AR49" s="121"/>
      <c r="AS49" s="220"/>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row>
    <row r="50" spans="1:77">
      <c r="A50" s="2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220"/>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row>
    <row r="51" spans="1:77" ht="16.5" thickBot="1">
      <c r="A51" s="119"/>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3"/>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row>
    <row r="52" spans="1:77" ht="17.100000000000001" customHeight="1" thickBo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row>
    <row r="53" spans="1:77">
      <c r="A53" s="216"/>
      <c r="B53" s="217"/>
      <c r="C53" s="217"/>
      <c r="D53" s="217"/>
      <c r="E53" s="217"/>
      <c r="F53" s="217"/>
      <c r="G53" s="217"/>
      <c r="H53" s="217"/>
      <c r="I53" s="217"/>
      <c r="J53" s="217"/>
      <c r="K53" s="217"/>
      <c r="L53" s="217"/>
      <c r="M53" s="217"/>
      <c r="N53" s="217"/>
      <c r="O53" s="217"/>
      <c r="P53" s="217"/>
      <c r="Q53" s="217"/>
      <c r="R53" s="217"/>
      <c r="S53" s="217"/>
      <c r="T53" s="217"/>
      <c r="U53" s="217"/>
      <c r="V53" s="21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row>
    <row r="54" spans="1:77">
      <c r="A54" s="219" t="s">
        <v>273</v>
      </c>
      <c r="B54" s="147"/>
      <c r="C54" s="147"/>
      <c r="D54" s="147"/>
      <c r="E54" s="121"/>
      <c r="F54" s="121"/>
      <c r="G54" s="121"/>
      <c r="H54" s="121"/>
      <c r="I54" s="121"/>
      <c r="J54" s="121"/>
      <c r="K54" s="121"/>
      <c r="L54" s="121"/>
      <c r="M54" s="121"/>
      <c r="N54" s="121"/>
      <c r="O54" s="121"/>
      <c r="P54" s="121"/>
      <c r="Q54" s="121"/>
      <c r="R54" s="121"/>
      <c r="S54" s="121"/>
      <c r="T54" s="121"/>
      <c r="U54" s="121"/>
      <c r="V54" s="220"/>
      <c r="W54" s="58"/>
      <c r="X54" s="121"/>
      <c r="Y54" s="121"/>
      <c r="Z54" s="121"/>
      <c r="AA54" s="121"/>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row>
    <row r="55" spans="1:77">
      <c r="A55" s="219" t="s">
        <v>267</v>
      </c>
      <c r="B55" s="147"/>
      <c r="C55" s="147"/>
      <c r="D55" s="147"/>
      <c r="E55" s="121"/>
      <c r="F55" s="121"/>
      <c r="G55" s="121"/>
      <c r="H55" s="121"/>
      <c r="I55" s="121"/>
      <c r="J55" s="121"/>
      <c r="K55" s="121"/>
      <c r="L55" s="121"/>
      <c r="M55" s="121"/>
      <c r="N55" s="121"/>
      <c r="O55" s="121"/>
      <c r="P55" s="121"/>
      <c r="Q55" s="121"/>
      <c r="R55" s="121"/>
      <c r="S55" s="121"/>
      <c r="T55" s="121"/>
      <c r="U55" s="121"/>
      <c r="V55" s="220"/>
      <c r="W55" s="58"/>
      <c r="X55" s="121"/>
      <c r="Y55" s="121"/>
      <c r="Z55" s="121"/>
      <c r="AA55" s="121"/>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row>
    <row r="56" spans="1:77">
      <c r="A56" s="412" t="s">
        <v>266</v>
      </c>
      <c r="B56" s="413" t="s">
        <v>268</v>
      </c>
      <c r="C56" s="413" t="s">
        <v>269</v>
      </c>
      <c r="D56" s="339" t="s">
        <v>272</v>
      </c>
      <c r="E56" s="339" t="s">
        <v>271</v>
      </c>
      <c r="F56" s="339" t="s">
        <v>270</v>
      </c>
      <c r="G56" s="414"/>
      <c r="H56" s="413" t="s">
        <v>274</v>
      </c>
      <c r="I56" s="413" t="s">
        <v>275</v>
      </c>
      <c r="J56" s="413" t="s">
        <v>276</v>
      </c>
      <c r="K56" s="339" t="s">
        <v>277</v>
      </c>
      <c r="L56" s="339" t="s">
        <v>278</v>
      </c>
      <c r="M56" s="339" t="s">
        <v>279</v>
      </c>
      <c r="N56" s="414"/>
      <c r="O56" s="413" t="s">
        <v>280</v>
      </c>
      <c r="P56" s="413" t="s">
        <v>281</v>
      </c>
      <c r="Q56" s="413" t="s">
        <v>282</v>
      </c>
      <c r="R56" s="339" t="s">
        <v>283</v>
      </c>
      <c r="S56" s="414"/>
      <c r="T56" s="414"/>
      <c r="U56" s="414"/>
      <c r="V56" s="220"/>
      <c r="W56" s="58"/>
      <c r="X56" s="121"/>
      <c r="Y56" s="121"/>
      <c r="Z56" s="121"/>
      <c r="AA56" s="121"/>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row>
    <row r="57" spans="1:77" ht="44.1" customHeight="1">
      <c r="A57" s="412"/>
      <c r="B57" s="413"/>
      <c r="C57" s="413"/>
      <c r="D57" s="339"/>
      <c r="E57" s="339"/>
      <c r="F57" s="339"/>
      <c r="G57" s="414"/>
      <c r="H57" s="413"/>
      <c r="I57" s="413"/>
      <c r="J57" s="413"/>
      <c r="K57" s="339"/>
      <c r="L57" s="339"/>
      <c r="M57" s="339"/>
      <c r="N57" s="414"/>
      <c r="O57" s="413"/>
      <c r="P57" s="413"/>
      <c r="Q57" s="413"/>
      <c r="R57" s="339"/>
      <c r="S57" s="414"/>
      <c r="T57" s="414"/>
      <c r="U57" s="414"/>
      <c r="V57" s="220"/>
      <c r="W57" s="58"/>
      <c r="X57" s="121"/>
      <c r="Y57" s="121"/>
      <c r="Z57" s="121"/>
      <c r="AA57" s="121"/>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row>
    <row r="58" spans="1:77">
      <c r="A58" s="138">
        <v>202791.53100105576</v>
      </c>
      <c r="B58" s="126">
        <v>6737.8345420784262</v>
      </c>
      <c r="C58" s="126">
        <v>11585.625110678113</v>
      </c>
      <c r="D58" s="126">
        <v>221114.9906538123</v>
      </c>
      <c r="E58" s="126">
        <v>204930.2049073895</v>
      </c>
      <c r="F58" s="126">
        <v>16184.7857464228</v>
      </c>
      <c r="G58" s="141"/>
      <c r="H58" s="136">
        <f>(A58/99812701)*144909934</f>
        <v>294416.51291574549</v>
      </c>
      <c r="I58" s="136">
        <f>(B58/99812701)*144909934</f>
        <v>9782.1133885105974</v>
      </c>
      <c r="J58" s="136">
        <f>(C58/99812701)*144909934</f>
        <v>16820.22581612242</v>
      </c>
      <c r="K58" s="136">
        <f>SUM(H58:J58)</f>
        <v>321018.85212037852</v>
      </c>
      <c r="L58" s="136">
        <f>(E58/99812701)*144909934</f>
        <v>297521.47943312634</v>
      </c>
      <c r="M58" s="136">
        <f>(F58/99812701)*144909934</f>
        <v>23497.37268725218</v>
      </c>
      <c r="N58" s="131"/>
      <c r="O58" s="142">
        <f>H58*1.0714904453</f>
        <v>315464.48052776535</v>
      </c>
      <c r="P58" s="136">
        <f>I58*(1+AL82)</f>
        <v>18377.111265815718</v>
      </c>
      <c r="Q58" s="136">
        <f>J58*(1+AL82)</f>
        <v>31599.220849564459</v>
      </c>
      <c r="R58" s="139">
        <f>SUM(O58:Q58)</f>
        <v>365440.81264314556</v>
      </c>
      <c r="S58" s="131"/>
      <c r="T58" s="131"/>
      <c r="U58" s="131"/>
      <c r="V58" s="220"/>
      <c r="W58" s="58"/>
      <c r="X58" s="121"/>
      <c r="Y58" s="121"/>
      <c r="Z58" s="121"/>
      <c r="AA58" s="121"/>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row>
    <row r="59" spans="1:77">
      <c r="A59" s="221" t="s">
        <v>285</v>
      </c>
      <c r="B59" s="121"/>
      <c r="C59" s="121"/>
      <c r="D59" s="121"/>
      <c r="E59" s="121"/>
      <c r="F59" s="121"/>
      <c r="G59" s="121"/>
      <c r="H59" s="121"/>
      <c r="I59" s="121"/>
      <c r="J59" s="121"/>
      <c r="K59" s="121"/>
      <c r="L59" s="121"/>
      <c r="M59" s="121"/>
      <c r="N59" s="121"/>
      <c r="O59" s="121" t="s">
        <v>284</v>
      </c>
      <c r="P59" s="121"/>
      <c r="Q59" s="121"/>
      <c r="R59" s="121"/>
      <c r="S59" s="121"/>
      <c r="T59" s="121"/>
      <c r="U59" s="121"/>
      <c r="V59" s="220"/>
      <c r="W59" s="58"/>
      <c r="X59" s="121"/>
      <c r="Y59" s="121"/>
      <c r="Z59" s="121"/>
      <c r="AA59" s="121"/>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row>
    <row r="60" spans="1:77" ht="16.5" thickBot="1">
      <c r="A60" s="119"/>
      <c r="B60" s="222"/>
      <c r="C60" s="222"/>
      <c r="D60" s="222"/>
      <c r="E60" s="222"/>
      <c r="F60" s="222"/>
      <c r="G60" s="222"/>
      <c r="H60" s="222"/>
      <c r="I60" s="222"/>
      <c r="J60" s="222"/>
      <c r="K60" s="222"/>
      <c r="L60" s="222"/>
      <c r="M60" s="222"/>
      <c r="N60" s="222"/>
      <c r="O60" s="222"/>
      <c r="P60" s="222"/>
      <c r="Q60" s="222"/>
      <c r="R60" s="222"/>
      <c r="S60" s="222"/>
      <c r="T60" s="222"/>
      <c r="U60" s="222"/>
      <c r="V60" s="223"/>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row>
    <row r="61" spans="1:77" ht="16.5" thickBot="1">
      <c r="A61" s="121"/>
      <c r="B61" s="121"/>
      <c r="C61" s="121"/>
      <c r="D61" s="121"/>
      <c r="E61" s="121"/>
      <c r="F61" s="121"/>
      <c r="G61" s="121"/>
      <c r="H61" s="121"/>
      <c r="I61" s="121"/>
      <c r="J61" s="121"/>
      <c r="K61" s="121"/>
      <c r="L61" s="121"/>
      <c r="M61" s="121"/>
      <c r="N61" s="121"/>
      <c r="O61" s="121"/>
      <c r="P61" s="121"/>
      <c r="Q61" s="121"/>
      <c r="R61" s="121"/>
      <c r="S61" s="121"/>
      <c r="T61" s="121"/>
      <c r="U61" s="121"/>
      <c r="V61" s="121"/>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row>
    <row r="62" spans="1:77">
      <c r="A62" s="216"/>
      <c r="B62" s="217"/>
      <c r="C62" s="217"/>
      <c r="D62" s="217"/>
      <c r="E62" s="217"/>
      <c r="F62" s="217"/>
      <c r="G62" s="217"/>
      <c r="H62" s="217"/>
      <c r="I62" s="217"/>
      <c r="J62" s="21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row>
    <row r="63" spans="1:77">
      <c r="A63" s="219" t="s">
        <v>286</v>
      </c>
      <c r="B63" s="147"/>
      <c r="C63" s="121"/>
      <c r="D63" s="121"/>
      <c r="E63" s="121"/>
      <c r="F63" s="121"/>
      <c r="G63" s="121"/>
      <c r="H63" s="121"/>
      <c r="I63" s="121"/>
      <c r="J63" s="220"/>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row>
    <row r="64" spans="1:77" ht="15.95" customHeight="1">
      <c r="A64" s="417" t="s">
        <v>290</v>
      </c>
      <c r="B64" s="418" t="s">
        <v>289</v>
      </c>
      <c r="C64" s="419" t="s">
        <v>287</v>
      </c>
      <c r="D64" s="418" t="s">
        <v>288</v>
      </c>
      <c r="E64" s="418" t="s">
        <v>291</v>
      </c>
      <c r="F64" s="418" t="s">
        <v>292</v>
      </c>
      <c r="G64" s="418" t="s">
        <v>293</v>
      </c>
      <c r="H64" s="121"/>
      <c r="I64" s="121"/>
      <c r="J64" s="220"/>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row>
    <row r="65" spans="1:78" ht="69.95" customHeight="1">
      <c r="A65" s="417"/>
      <c r="B65" s="418"/>
      <c r="C65" s="420"/>
      <c r="D65" s="418"/>
      <c r="E65" s="418"/>
      <c r="F65" s="418"/>
      <c r="G65" s="418"/>
      <c r="H65" s="121"/>
      <c r="I65" s="121"/>
      <c r="J65" s="220"/>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row>
    <row r="66" spans="1:78">
      <c r="A66" s="140">
        <v>125890949</v>
      </c>
      <c r="B66" s="143">
        <v>53100000</v>
      </c>
      <c r="C66" s="215">
        <v>88.4852093841086</v>
      </c>
      <c r="D66" s="144">
        <f>B66*0.884852093841086</f>
        <v>46985646.182961665</v>
      </c>
      <c r="E66" s="145">
        <f>D66/99812701</f>
        <v>0.4707381496765794</v>
      </c>
      <c r="F66" s="144">
        <f>E66*144909934</f>
        <v>68214634.200915247</v>
      </c>
      <c r="G66" s="145">
        <f>F66*1.87864427</f>
        <v>128151031.67169546</v>
      </c>
      <c r="H66" s="121"/>
      <c r="I66" s="121"/>
      <c r="J66" s="220"/>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row>
    <row r="67" spans="1:78">
      <c r="A67" s="224" t="s">
        <v>294</v>
      </c>
      <c r="B67" s="131"/>
      <c r="C67" s="132"/>
      <c r="D67" s="133"/>
      <c r="E67" s="131"/>
      <c r="F67" s="225"/>
      <c r="G67" s="121"/>
      <c r="H67" s="121"/>
      <c r="I67" s="121"/>
      <c r="J67" s="220"/>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row>
    <row r="68" spans="1:78" ht="16.5" thickBot="1">
      <c r="A68" s="226"/>
      <c r="B68" s="227"/>
      <c r="C68" s="228"/>
      <c r="D68" s="229"/>
      <c r="E68" s="227"/>
      <c r="F68" s="230"/>
      <c r="G68" s="222"/>
      <c r="H68" s="222"/>
      <c r="I68" s="222"/>
      <c r="J68" s="223"/>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row>
    <row r="69" spans="1:78">
      <c r="A69" s="131"/>
      <c r="B69" s="131"/>
      <c r="C69" s="132"/>
      <c r="D69" s="133"/>
      <c r="E69" s="131"/>
      <c r="F69" s="225"/>
      <c r="G69" s="121"/>
      <c r="H69" s="121"/>
      <c r="I69" s="121"/>
      <c r="J69" s="121"/>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row>
    <row r="70" spans="1:78" ht="16.5" thickBot="1">
      <c r="A70" s="131"/>
      <c r="B70" s="131"/>
      <c r="C70" s="132"/>
      <c r="D70" s="133"/>
      <c r="E70" s="130"/>
      <c r="F70" s="146"/>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row>
    <row r="71" spans="1:78">
      <c r="A71" s="231" t="s">
        <v>295</v>
      </c>
      <c r="B71" s="232"/>
      <c r="C71" s="233"/>
      <c r="D71" s="234"/>
      <c r="E71" s="235"/>
      <c r="F71" s="236"/>
      <c r="G71" s="21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row>
    <row r="72" spans="1:78" ht="63">
      <c r="A72" s="237" t="s">
        <v>298</v>
      </c>
      <c r="B72" s="151" t="s">
        <v>297</v>
      </c>
      <c r="C72" s="151" t="s">
        <v>299</v>
      </c>
      <c r="D72" s="151" t="s">
        <v>300</v>
      </c>
      <c r="E72" s="151" t="s">
        <v>301</v>
      </c>
      <c r="F72" s="225"/>
      <c r="G72" s="220"/>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row>
    <row r="73" spans="1:78">
      <c r="A73" s="238">
        <v>3.9630000000000001</v>
      </c>
      <c r="B73" s="149">
        <f>A73*125890949</f>
        <v>498905830.88700002</v>
      </c>
      <c r="C73" s="150">
        <f>B73*0.884852093841086</f>
        <v>441457869.08988869</v>
      </c>
      <c r="D73" s="152">
        <f>(C73/99812701)*144909934</f>
        <v>640916737.37590182</v>
      </c>
      <c r="E73" s="153">
        <f>D73*1.87864427</f>
        <v>1204054556.2183328</v>
      </c>
      <c r="F73" s="225"/>
      <c r="G73" s="220"/>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row>
    <row r="74" spans="1:78">
      <c r="A74" s="224" t="s">
        <v>296</v>
      </c>
      <c r="B74" s="131"/>
      <c r="C74" s="132"/>
      <c r="D74" s="133"/>
      <c r="E74" s="131"/>
      <c r="F74" s="225"/>
      <c r="G74" s="220"/>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row>
    <row r="75" spans="1:78" ht="16.5" thickBot="1">
      <c r="A75" s="226"/>
      <c r="B75" s="227"/>
      <c r="C75" s="228"/>
      <c r="D75" s="229"/>
      <c r="E75" s="227"/>
      <c r="F75" s="230"/>
      <c r="G75" s="223"/>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row>
    <row r="76" spans="1:78">
      <c r="A76" s="131"/>
      <c r="B76" s="131"/>
      <c r="C76" s="132"/>
      <c r="D76" s="133"/>
      <c r="E76" s="130"/>
      <c r="F76" s="146"/>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row>
    <row r="77" spans="1:78" ht="16.5" thickBot="1">
      <c r="A77" s="134"/>
      <c r="B77" s="134"/>
      <c r="C77" s="131"/>
      <c r="D77" s="131"/>
      <c r="E77" s="130"/>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row>
    <row r="78" spans="1:78">
      <c r="A78" s="239"/>
      <c r="B78" s="240"/>
      <c r="C78" s="235"/>
      <c r="D78" s="235"/>
      <c r="E78" s="235"/>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row>
    <row r="79" spans="1:78">
      <c r="A79" s="219" t="s">
        <v>261</v>
      </c>
      <c r="B79" s="147"/>
      <c r="C79" s="147"/>
      <c r="D79" s="147"/>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220"/>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row>
    <row r="80" spans="1:78">
      <c r="A80" s="148" t="s">
        <v>119</v>
      </c>
      <c r="B80" s="120">
        <v>2015</v>
      </c>
      <c r="C80" s="120">
        <v>2016</v>
      </c>
      <c r="D80" s="135">
        <v>2017</v>
      </c>
      <c r="E80" s="120">
        <v>2018</v>
      </c>
      <c r="F80" s="120">
        <v>2019</v>
      </c>
      <c r="G80" s="120">
        <v>2020</v>
      </c>
      <c r="H80" s="120">
        <v>2021</v>
      </c>
      <c r="I80" s="120">
        <v>2022</v>
      </c>
      <c r="J80" s="120">
        <v>2023</v>
      </c>
      <c r="K80" s="120">
        <v>2024</v>
      </c>
      <c r="L80" s="120">
        <v>2025</v>
      </c>
      <c r="M80" s="120">
        <v>2026</v>
      </c>
      <c r="N80" s="120">
        <v>2027</v>
      </c>
      <c r="O80" s="120">
        <v>2028</v>
      </c>
      <c r="P80" s="120">
        <v>2029</v>
      </c>
      <c r="Q80" s="120">
        <v>2030</v>
      </c>
      <c r="R80" s="120">
        <v>2031</v>
      </c>
      <c r="S80" s="120">
        <v>2032</v>
      </c>
      <c r="T80" s="120">
        <v>2033</v>
      </c>
      <c r="U80" s="120">
        <v>2034</v>
      </c>
      <c r="V80" s="120">
        <v>2035</v>
      </c>
      <c r="W80" s="120">
        <v>2036</v>
      </c>
      <c r="X80" s="120">
        <v>2037</v>
      </c>
      <c r="Y80" s="120">
        <v>2038</v>
      </c>
      <c r="Z80" s="120">
        <v>2039</v>
      </c>
      <c r="AA80" s="120">
        <v>2040</v>
      </c>
      <c r="AB80" s="120">
        <v>2041</v>
      </c>
      <c r="AC80" s="120">
        <v>2042</v>
      </c>
      <c r="AD80" s="120">
        <v>2043</v>
      </c>
      <c r="AE80" s="120">
        <v>2044</v>
      </c>
      <c r="AF80" s="120">
        <v>2045</v>
      </c>
      <c r="AG80" s="120">
        <v>2046</v>
      </c>
      <c r="AH80" s="120">
        <v>2047</v>
      </c>
      <c r="AI80" s="120">
        <v>2048</v>
      </c>
      <c r="AJ80" s="120">
        <v>2049</v>
      </c>
      <c r="AK80" s="120">
        <v>2050</v>
      </c>
      <c r="AL80" s="121"/>
      <c r="AM80" s="121"/>
      <c r="AN80" s="121"/>
      <c r="AO80" s="121"/>
      <c r="AP80" s="121"/>
      <c r="AQ80" s="220"/>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row>
    <row r="81" spans="1:78">
      <c r="A81" s="148" t="s">
        <v>262</v>
      </c>
      <c r="B81" s="136">
        <v>16670</v>
      </c>
      <c r="C81" s="136">
        <v>16937</v>
      </c>
      <c r="D81" s="136">
        <v>17105</v>
      </c>
      <c r="E81" s="136">
        <v>17315</v>
      </c>
      <c r="F81" s="136">
        <v>17595</v>
      </c>
      <c r="G81" s="137">
        <v>16380.6</v>
      </c>
      <c r="H81" s="137">
        <v>16626.310000000001</v>
      </c>
      <c r="I81" s="137">
        <v>17617.150000000001</v>
      </c>
      <c r="J81" s="136">
        <v>18608</v>
      </c>
      <c r="K81" s="136">
        <v>18924</v>
      </c>
      <c r="L81" s="136">
        <v>19255</v>
      </c>
      <c r="M81" s="136">
        <v>19600</v>
      </c>
      <c r="N81" s="136">
        <v>19960</v>
      </c>
      <c r="O81" s="136">
        <v>20333</v>
      </c>
      <c r="P81" s="136">
        <v>20720</v>
      </c>
      <c r="Q81" s="136">
        <v>21121</v>
      </c>
      <c r="R81" s="136">
        <v>21534</v>
      </c>
      <c r="S81" s="136">
        <v>21960</v>
      </c>
      <c r="T81" s="136">
        <v>22398</v>
      </c>
      <c r="U81" s="136">
        <v>22848</v>
      </c>
      <c r="V81" s="136">
        <v>23310</v>
      </c>
      <c r="W81" s="136">
        <v>23783</v>
      </c>
      <c r="X81" s="136">
        <v>24267</v>
      </c>
      <c r="Y81" s="136">
        <v>24763</v>
      </c>
      <c r="Z81" s="136">
        <v>25268</v>
      </c>
      <c r="AA81" s="136">
        <v>25784</v>
      </c>
      <c r="AB81" s="136">
        <v>26307</v>
      </c>
      <c r="AC81" s="136">
        <v>26839</v>
      </c>
      <c r="AD81" s="136">
        <v>27378</v>
      </c>
      <c r="AE81" s="136">
        <v>27923</v>
      </c>
      <c r="AF81" s="136">
        <v>28474</v>
      </c>
      <c r="AG81" s="136">
        <v>29030</v>
      </c>
      <c r="AH81" s="136">
        <v>29592</v>
      </c>
      <c r="AI81" s="136">
        <v>30160</v>
      </c>
      <c r="AJ81" s="136">
        <v>30735</v>
      </c>
      <c r="AK81" s="136">
        <v>31317</v>
      </c>
      <c r="AL81" s="121"/>
      <c r="AM81" s="121"/>
      <c r="AN81" s="121"/>
      <c r="AO81" s="121"/>
      <c r="AP81" s="121"/>
      <c r="AQ81" s="220"/>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c r="A82" s="148" t="s">
        <v>367</v>
      </c>
      <c r="B82" s="120"/>
      <c r="C82" s="120">
        <v>1.6016796999999999E-2</v>
      </c>
      <c r="D82" s="120">
        <v>9.9191120000000008E-3</v>
      </c>
      <c r="E82" s="120">
        <v>1.2277112E-2</v>
      </c>
      <c r="F82" s="120">
        <v>1.617095E-2</v>
      </c>
      <c r="G82" s="120">
        <v>-6.9019607999999996E-2</v>
      </c>
      <c r="H82" s="120">
        <v>1.4999999999999999E-2</v>
      </c>
      <c r="I82" s="120">
        <v>5.9595036999999997E-2</v>
      </c>
      <c r="J82" s="120">
        <v>5.6243219999999997E-2</v>
      </c>
      <c r="K82" s="120">
        <v>1.6981942999999999E-2</v>
      </c>
      <c r="L82" s="120">
        <v>1.7491017000000001E-2</v>
      </c>
      <c r="M82" s="120">
        <v>1.7917424000000001E-2</v>
      </c>
      <c r="N82" s="120">
        <v>1.8367346999999999E-2</v>
      </c>
      <c r="O82" s="120">
        <v>1.8687374999999999E-2</v>
      </c>
      <c r="P82" s="120">
        <v>1.9033099000000001E-2</v>
      </c>
      <c r="Q82" s="120">
        <v>1.9353281999999999E-2</v>
      </c>
      <c r="R82" s="120">
        <v>1.9553998E-2</v>
      </c>
      <c r="S82" s="120">
        <v>1.9782668999999999E-2</v>
      </c>
      <c r="T82" s="120">
        <v>1.9945355000000001E-2</v>
      </c>
      <c r="U82" s="120">
        <v>2.0091080000000001E-2</v>
      </c>
      <c r="V82" s="120">
        <v>2.0220588000000001E-2</v>
      </c>
      <c r="W82" s="120">
        <v>2.0291719999999999E-2</v>
      </c>
      <c r="X82" s="120">
        <v>2.0350671000000001E-2</v>
      </c>
      <c r="Y82" s="120">
        <v>2.0439280000000001E-2</v>
      </c>
      <c r="Z82" s="120">
        <v>2.0393329000000002E-2</v>
      </c>
      <c r="AA82" s="120">
        <v>2.0421086000000001E-2</v>
      </c>
      <c r="AB82" s="120">
        <v>2.0283900000000001E-2</v>
      </c>
      <c r="AC82" s="120">
        <v>2.0222750000000001E-2</v>
      </c>
      <c r="AD82" s="120">
        <v>2.0082719999999998E-2</v>
      </c>
      <c r="AE82" s="120">
        <v>1.9906489999999999E-2</v>
      </c>
      <c r="AF82" s="120">
        <v>1.9732840000000001E-2</v>
      </c>
      <c r="AG82" s="120">
        <v>1.952659E-2</v>
      </c>
      <c r="AH82" s="120">
        <v>1.935928E-2</v>
      </c>
      <c r="AI82" s="120">
        <v>1.919438E-2</v>
      </c>
      <c r="AJ82" s="120">
        <v>1.906499E-2</v>
      </c>
      <c r="AK82" s="120">
        <v>1.8936069999999999E-2</v>
      </c>
      <c r="AL82" s="241">
        <v>0.87864427000000001</v>
      </c>
      <c r="AM82" s="121" t="s">
        <v>263</v>
      </c>
      <c r="AN82" s="121"/>
      <c r="AO82" s="121"/>
      <c r="AP82" s="121"/>
      <c r="AQ82" s="220"/>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c r="A83" s="242" t="s">
        <v>265</v>
      </c>
      <c r="B83" s="243"/>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v>1.8338110000000001E-2</v>
      </c>
      <c r="AK83" s="121" t="s">
        <v>264</v>
      </c>
      <c r="AL83" s="121"/>
      <c r="AM83" s="121"/>
      <c r="AN83" s="121"/>
      <c r="AO83" s="121"/>
      <c r="AP83" s="121"/>
      <c r="AQ83" s="220"/>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row>
    <row r="84" spans="1:78" ht="16.5" thickBot="1">
      <c r="A84" s="119"/>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3"/>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row>
    <row r="85" spans="1:78">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row>
    <row r="86" spans="1:78">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row>
    <row r="87" spans="1:78">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row>
    <row r="88" spans="1:78">
      <c r="A88" s="258"/>
      <c r="B88" s="258"/>
      <c r="C88" s="258"/>
      <c r="D88" s="258"/>
      <c r="E88" s="258"/>
      <c r="F88" s="258"/>
      <c r="G88" s="258"/>
      <c r="H88" s="258"/>
      <c r="I88" s="258"/>
      <c r="J88" s="258"/>
      <c r="K88" s="259"/>
      <c r="L88" s="259"/>
      <c r="M88" s="259"/>
      <c r="N88" s="259"/>
      <c r="O88" s="259"/>
      <c r="P88" s="259"/>
      <c r="Q88" s="260"/>
      <c r="R88" s="259"/>
      <c r="S88" s="259"/>
      <c r="T88" s="130"/>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row>
    <row r="89" spans="1:78">
      <c r="A89" s="130"/>
      <c r="B89" s="130"/>
      <c r="C89" s="130"/>
      <c r="D89" s="130"/>
      <c r="E89" s="130"/>
      <c r="F89" s="261"/>
      <c r="G89" s="262"/>
      <c r="H89" s="262"/>
      <c r="I89" s="262"/>
      <c r="J89" s="262"/>
      <c r="K89" s="262"/>
      <c r="L89" s="261"/>
      <c r="M89" s="261"/>
      <c r="N89" s="261"/>
      <c r="O89" s="262"/>
      <c r="P89" s="261"/>
      <c r="Q89" s="262"/>
      <c r="R89" s="261"/>
      <c r="S89" s="261"/>
      <c r="T89" s="130"/>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row>
    <row r="90" spans="1:78">
      <c r="A90" s="130"/>
      <c r="B90" s="130"/>
      <c r="C90" s="130"/>
      <c r="D90" s="130"/>
      <c r="E90" s="130"/>
      <c r="F90" s="130"/>
      <c r="G90" s="130"/>
      <c r="H90" s="130"/>
      <c r="I90" s="130"/>
      <c r="J90" s="130"/>
      <c r="K90" s="130"/>
      <c r="L90" s="130"/>
      <c r="M90" s="130"/>
      <c r="N90" s="130"/>
      <c r="O90" s="130"/>
      <c r="P90" s="130"/>
      <c r="Q90" s="130"/>
      <c r="R90" s="130"/>
      <c r="S90" s="261"/>
      <c r="T90" s="130"/>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row>
    <row r="91" spans="1:78">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row>
    <row r="92" spans="1:78">
      <c r="A92" s="58"/>
      <c r="B92" s="58"/>
      <c r="C92" s="58"/>
      <c r="D92" s="58"/>
      <c r="E92" s="58"/>
      <c r="F92" s="58"/>
      <c r="G92" s="58"/>
      <c r="H92" s="58"/>
      <c r="I92" s="58"/>
      <c r="J92" s="58"/>
      <c r="K92" s="58"/>
      <c r="L92" s="58"/>
      <c r="M92" s="58"/>
      <c r="N92" s="58"/>
      <c r="O92" s="58"/>
      <c r="P92" s="85"/>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row>
  </sheetData>
  <mergeCells count="53">
    <mergeCell ref="A4:A6"/>
    <mergeCell ref="U56:U57"/>
    <mergeCell ref="A64:A65"/>
    <mergeCell ref="B64:B65"/>
    <mergeCell ref="C64:C65"/>
    <mergeCell ref="D64:D65"/>
    <mergeCell ref="E64:E65"/>
    <mergeCell ref="F64:F65"/>
    <mergeCell ref="G64:G65"/>
    <mergeCell ref="P56:P57"/>
    <mergeCell ref="Q56:Q57"/>
    <mergeCell ref="R56:R57"/>
    <mergeCell ref="S56:S57"/>
    <mergeCell ref="T56:T57"/>
    <mergeCell ref="K56:K57"/>
    <mergeCell ref="L56:L57"/>
    <mergeCell ref="M56:M57"/>
    <mergeCell ref="N56:N57"/>
    <mergeCell ref="O56:O57"/>
    <mergeCell ref="F56:F57"/>
    <mergeCell ref="G56:G57"/>
    <mergeCell ref="H56:H57"/>
    <mergeCell ref="I56:I57"/>
    <mergeCell ref="J56:J57"/>
    <mergeCell ref="A56:A57"/>
    <mergeCell ref="B56:B57"/>
    <mergeCell ref="C56:C57"/>
    <mergeCell ref="D56:D57"/>
    <mergeCell ref="E56:E57"/>
    <mergeCell ref="B4:G4"/>
    <mergeCell ref="H4:M4"/>
    <mergeCell ref="N4:S4"/>
    <mergeCell ref="U4:Z4"/>
    <mergeCell ref="B5:F5"/>
    <mergeCell ref="G5:G6"/>
    <mergeCell ref="H5:L5"/>
    <mergeCell ref="M5:M6"/>
    <mergeCell ref="N5:R5"/>
    <mergeCell ref="S5:S6"/>
    <mergeCell ref="U5:Y5"/>
    <mergeCell ref="Z5:Z6"/>
    <mergeCell ref="AA5:AA6"/>
    <mergeCell ref="B18:B19"/>
    <mergeCell ref="C18:F18"/>
    <mergeCell ref="G18:J18"/>
    <mergeCell ref="K18:N18"/>
    <mergeCell ref="V19:Y19"/>
    <mergeCell ref="A34:B34"/>
    <mergeCell ref="A35:A39"/>
    <mergeCell ref="A40:B40"/>
    <mergeCell ref="A41:B41"/>
    <mergeCell ref="AD43:AF43"/>
    <mergeCell ref="W43:AA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62"/>
  <sheetViews>
    <sheetView workbookViewId="0">
      <selection activeCell="L54" sqref="L54"/>
    </sheetView>
  </sheetViews>
  <sheetFormatPr defaultColWidth="11" defaultRowHeight="15.75"/>
  <cols>
    <col min="12" max="12" width="13.125" customWidth="1"/>
    <col min="13" max="13" width="19.625" customWidth="1"/>
    <col min="15" max="15" width="15" customWidth="1"/>
  </cols>
  <sheetData>
    <row r="4" spans="1:13" ht="16.5" thickBot="1">
      <c r="A4" s="158" t="s">
        <v>412</v>
      </c>
      <c r="B4" s="158"/>
      <c r="C4" s="158"/>
      <c r="D4" s="158"/>
      <c r="E4" s="158"/>
      <c r="F4" s="158"/>
      <c r="G4" s="158"/>
      <c r="H4" s="158"/>
      <c r="I4" s="158"/>
      <c r="J4" s="158"/>
      <c r="K4" s="158"/>
    </row>
    <row r="5" spans="1:13">
      <c r="A5" s="168" t="s">
        <v>302</v>
      </c>
      <c r="B5" s="169"/>
      <c r="C5" s="170"/>
      <c r="D5" s="169"/>
      <c r="E5" s="169"/>
      <c r="F5" s="169"/>
      <c r="G5" s="169">
        <f>G11/F11</f>
        <v>31.257280830475228</v>
      </c>
      <c r="H5" s="169"/>
      <c r="I5" s="169"/>
      <c r="J5" s="171"/>
    </row>
    <row r="6" spans="1:13">
      <c r="A6" s="172"/>
      <c r="B6" s="45"/>
      <c r="C6" s="173"/>
      <c r="D6" s="45"/>
      <c r="E6" s="45"/>
      <c r="F6" s="45"/>
      <c r="G6" s="45"/>
      <c r="H6" s="45"/>
      <c r="I6" s="45"/>
      <c r="J6" s="118"/>
    </row>
    <row r="7" spans="1:13">
      <c r="A7" s="423" t="s">
        <v>303</v>
      </c>
      <c r="B7" s="424"/>
      <c r="C7" s="424"/>
      <c r="D7" s="424"/>
      <c r="E7" s="424"/>
      <c r="F7" s="424"/>
      <c r="G7" s="424"/>
      <c r="H7" s="424"/>
      <c r="I7" s="424"/>
      <c r="J7" s="174" t="s">
        <v>304</v>
      </c>
    </row>
    <row r="8" spans="1:13" ht="16.5" thickBot="1">
      <c r="A8" s="425" t="s">
        <v>305</v>
      </c>
      <c r="B8" s="426"/>
      <c r="C8" s="154"/>
      <c r="D8" s="154"/>
      <c r="E8" s="154"/>
      <c r="F8" s="155" t="s">
        <v>306</v>
      </c>
      <c r="G8" s="155"/>
      <c r="H8" s="155"/>
      <c r="I8" s="155"/>
      <c r="J8" s="175"/>
    </row>
    <row r="9" spans="1:13" ht="25.5">
      <c r="A9" s="427"/>
      <c r="B9" s="428"/>
      <c r="C9" s="156" t="s">
        <v>221</v>
      </c>
      <c r="D9" s="156"/>
      <c r="E9" s="176"/>
      <c r="F9" s="431" t="s">
        <v>307</v>
      </c>
      <c r="G9" s="431"/>
      <c r="H9" s="176"/>
      <c r="I9" s="431" t="s">
        <v>308</v>
      </c>
      <c r="J9" s="432"/>
      <c r="L9" s="207" t="s">
        <v>408</v>
      </c>
      <c r="M9" s="208">
        <f>G11*100/D11</f>
        <v>86.89005712610458</v>
      </c>
    </row>
    <row r="10" spans="1:13" ht="25.5">
      <c r="A10" s="429"/>
      <c r="B10" s="430"/>
      <c r="C10" s="157" t="s">
        <v>309</v>
      </c>
      <c r="D10" s="157" t="s">
        <v>310</v>
      </c>
      <c r="E10" s="157"/>
      <c r="F10" s="157" t="s">
        <v>309</v>
      </c>
      <c r="G10" s="157" t="s">
        <v>310</v>
      </c>
      <c r="H10" s="157"/>
      <c r="I10" s="157" t="s">
        <v>309</v>
      </c>
      <c r="J10" s="177" t="s">
        <v>310</v>
      </c>
      <c r="L10" s="209" t="s">
        <v>409</v>
      </c>
      <c r="M10" s="210">
        <f>J11*100/D11</f>
        <v>13.10994287389544</v>
      </c>
    </row>
    <row r="11" spans="1:13">
      <c r="A11" s="178" t="s">
        <v>311</v>
      </c>
      <c r="B11" s="179"/>
      <c r="C11" s="180">
        <v>33442993</v>
      </c>
      <c r="D11" s="180">
        <v>941750423.06797397</v>
      </c>
      <c r="E11" s="181"/>
      <c r="F11" s="180">
        <v>26179100</v>
      </c>
      <c r="G11" s="180">
        <v>818287480.58909404</v>
      </c>
      <c r="H11" s="181"/>
      <c r="I11" s="180">
        <v>7263893</v>
      </c>
      <c r="J11" s="182">
        <v>123462942.47888</v>
      </c>
      <c r="L11" s="211" t="s">
        <v>410</v>
      </c>
      <c r="M11" s="212">
        <f>(M9+O61)/2</f>
        <v>88.4852093841086</v>
      </c>
    </row>
    <row r="12" spans="1:13" ht="16.5" thickBot="1">
      <c r="A12" s="183" t="s">
        <v>312</v>
      </c>
      <c r="B12" s="184"/>
      <c r="C12" s="185">
        <v>33298772</v>
      </c>
      <c r="D12" s="185">
        <v>331486163.52468801</v>
      </c>
      <c r="E12" s="186"/>
      <c r="F12" s="185">
        <v>26080716</v>
      </c>
      <c r="G12" s="185">
        <v>279779760.541251</v>
      </c>
      <c r="H12" s="186"/>
      <c r="I12" s="185">
        <v>7218056</v>
      </c>
      <c r="J12" s="187">
        <v>51706402.983440101</v>
      </c>
      <c r="L12" s="213" t="s">
        <v>411</v>
      </c>
      <c r="M12" s="214">
        <f>100-M11</f>
        <v>11.5147906158914</v>
      </c>
    </row>
    <row r="13" spans="1:13">
      <c r="A13" s="421" t="s">
        <v>313</v>
      </c>
      <c r="B13" s="422"/>
      <c r="C13" s="185">
        <v>33117319</v>
      </c>
      <c r="D13" s="186">
        <v>257151014.93726099</v>
      </c>
      <c r="E13" s="186"/>
      <c r="F13" s="185">
        <v>25920354</v>
      </c>
      <c r="G13" s="186">
        <v>212237267.26624101</v>
      </c>
      <c r="H13" s="186"/>
      <c r="I13" s="185">
        <v>7196965</v>
      </c>
      <c r="J13" s="188">
        <v>44913747.671019897</v>
      </c>
      <c r="L13" s="165"/>
      <c r="M13" s="166"/>
    </row>
    <row r="14" spans="1:13">
      <c r="A14" s="421" t="s">
        <v>314</v>
      </c>
      <c r="B14" s="422"/>
      <c r="C14" s="185">
        <v>16724342</v>
      </c>
      <c r="D14" s="186">
        <v>72451725.788790405</v>
      </c>
      <c r="E14" s="186"/>
      <c r="F14" s="185">
        <v>13899468</v>
      </c>
      <c r="G14" s="186">
        <v>65867491.107380196</v>
      </c>
      <c r="H14" s="186"/>
      <c r="I14" s="185">
        <v>2824874</v>
      </c>
      <c r="J14" s="188">
        <v>6584234.6814099904</v>
      </c>
      <c r="L14" s="165"/>
      <c r="M14" s="166"/>
    </row>
    <row r="15" spans="1:13">
      <c r="A15" s="189" t="s">
        <v>315</v>
      </c>
      <c r="B15" s="190"/>
      <c r="C15" s="185">
        <v>1867604</v>
      </c>
      <c r="D15" s="186">
        <v>1883422.7986399999</v>
      </c>
      <c r="E15" s="186"/>
      <c r="F15" s="185">
        <v>1601940</v>
      </c>
      <c r="G15" s="186">
        <v>1675002.16763</v>
      </c>
      <c r="H15" s="186"/>
      <c r="I15" s="185">
        <v>265664</v>
      </c>
      <c r="J15" s="188">
        <v>208420.63101000001</v>
      </c>
      <c r="L15" s="165"/>
      <c r="M15" s="167"/>
    </row>
    <row r="16" spans="1:13">
      <c r="A16" s="183" t="s">
        <v>316</v>
      </c>
      <c r="B16" s="184"/>
      <c r="C16" s="185">
        <v>25375621</v>
      </c>
      <c r="D16" s="186">
        <v>43582572.890630297</v>
      </c>
      <c r="E16" s="186"/>
      <c r="F16" s="185">
        <v>19825466</v>
      </c>
      <c r="G16" s="186">
        <v>37192368.317180201</v>
      </c>
      <c r="H16" s="186"/>
      <c r="I16" s="185">
        <v>5550155</v>
      </c>
      <c r="J16" s="188">
        <v>6390204.5734500298</v>
      </c>
      <c r="L16" s="165"/>
      <c r="M16" s="167"/>
    </row>
    <row r="17" spans="1:10">
      <c r="A17" s="435" t="s">
        <v>317</v>
      </c>
      <c r="B17" s="436"/>
      <c r="C17" s="185">
        <v>21176778</v>
      </c>
      <c r="D17" s="186">
        <v>26802660.629980098</v>
      </c>
      <c r="E17" s="186"/>
      <c r="F17" s="185">
        <v>16660521</v>
      </c>
      <c r="G17" s="186">
        <v>23124763.084279999</v>
      </c>
      <c r="H17" s="186"/>
      <c r="I17" s="185">
        <v>4516257</v>
      </c>
      <c r="J17" s="188">
        <v>3677897.5457000001</v>
      </c>
    </row>
    <row r="18" spans="1:10">
      <c r="A18" s="189" t="s">
        <v>318</v>
      </c>
      <c r="B18" s="191"/>
      <c r="C18" s="185">
        <v>19883605</v>
      </c>
      <c r="D18" s="186">
        <v>16779912.2606498</v>
      </c>
      <c r="E18" s="186"/>
      <c r="F18" s="185">
        <v>15331510</v>
      </c>
      <c r="G18" s="186">
        <v>14067605.232899999</v>
      </c>
      <c r="H18" s="186"/>
      <c r="I18" s="185">
        <v>4552095</v>
      </c>
      <c r="J18" s="188">
        <v>2712307.0277499999</v>
      </c>
    </row>
    <row r="19" spans="1:10">
      <c r="A19" s="437" t="s">
        <v>319</v>
      </c>
      <c r="B19" s="438"/>
      <c r="C19" s="185">
        <v>32682025</v>
      </c>
      <c r="D19" s="186">
        <v>89351018.588199496</v>
      </c>
      <c r="E19" s="186"/>
      <c r="F19" s="185">
        <v>25773026</v>
      </c>
      <c r="G19" s="186">
        <v>81897868.281829596</v>
      </c>
      <c r="H19" s="186"/>
      <c r="I19" s="185">
        <v>6908999</v>
      </c>
      <c r="J19" s="188">
        <v>7453150.3063699901</v>
      </c>
    </row>
    <row r="20" spans="1:10">
      <c r="A20" s="189" t="s">
        <v>320</v>
      </c>
      <c r="B20" s="191"/>
      <c r="C20" s="185">
        <v>4743905</v>
      </c>
      <c r="D20" s="186">
        <v>32627277.9157799</v>
      </c>
      <c r="E20" s="186"/>
      <c r="F20" s="185">
        <v>4542052</v>
      </c>
      <c r="G20" s="186">
        <v>32003138.948679999</v>
      </c>
      <c r="H20" s="186"/>
      <c r="I20" s="185">
        <v>201853</v>
      </c>
      <c r="J20" s="188">
        <v>624138.96710000001</v>
      </c>
    </row>
    <row r="21" spans="1:10">
      <c r="A21" s="435" t="s">
        <v>321</v>
      </c>
      <c r="B21" s="436"/>
      <c r="C21" s="185">
        <v>15551382</v>
      </c>
      <c r="D21" s="186">
        <v>7299645.4464600198</v>
      </c>
      <c r="E21" s="186"/>
      <c r="F21" s="185">
        <v>13777003</v>
      </c>
      <c r="G21" s="186">
        <v>7003190.8442700095</v>
      </c>
      <c r="H21" s="186"/>
      <c r="I21" s="185">
        <v>1774379</v>
      </c>
      <c r="J21" s="188">
        <v>296454.60219000001</v>
      </c>
    </row>
    <row r="22" spans="1:10">
      <c r="A22" s="189" t="s">
        <v>322</v>
      </c>
      <c r="B22" s="191"/>
      <c r="C22" s="185">
        <v>23132098</v>
      </c>
      <c r="D22" s="186">
        <v>10190708.62046</v>
      </c>
      <c r="E22" s="186"/>
      <c r="F22" s="185">
        <v>19040007</v>
      </c>
      <c r="G22" s="186">
        <v>9247926.5420699995</v>
      </c>
      <c r="H22" s="186"/>
      <c r="I22" s="185">
        <v>4092091</v>
      </c>
      <c r="J22" s="188">
        <v>942782.07839000004</v>
      </c>
    </row>
    <row r="23" spans="1:10">
      <c r="A23" s="189" t="s">
        <v>323</v>
      </c>
      <c r="B23" s="191"/>
      <c r="C23" s="185">
        <v>31796533</v>
      </c>
      <c r="D23" s="186">
        <v>39233386.605500303</v>
      </c>
      <c r="E23" s="186"/>
      <c r="F23" s="185">
        <v>25055140</v>
      </c>
      <c r="G23" s="186">
        <v>33643611.94681</v>
      </c>
      <c r="H23" s="186"/>
      <c r="I23" s="185">
        <v>6741393</v>
      </c>
      <c r="J23" s="188">
        <v>5589774.6586899897</v>
      </c>
    </row>
    <row r="24" spans="1:10">
      <c r="A24" s="439" t="s">
        <v>324</v>
      </c>
      <c r="B24" s="440"/>
      <c r="C24" s="185">
        <v>32953341</v>
      </c>
      <c r="D24" s="186">
        <v>55577429.700189799</v>
      </c>
      <c r="E24" s="186"/>
      <c r="F24" s="185">
        <v>25807562</v>
      </c>
      <c r="G24" s="186">
        <v>47744081.693429999</v>
      </c>
      <c r="H24" s="186"/>
      <c r="I24" s="185">
        <v>7145779</v>
      </c>
      <c r="J24" s="188">
        <v>7833348.00675999</v>
      </c>
    </row>
    <row r="25" spans="1:10">
      <c r="A25" s="421" t="s">
        <v>325</v>
      </c>
      <c r="B25" s="422"/>
      <c r="C25" s="185">
        <v>32830600</v>
      </c>
      <c r="D25" s="186">
        <v>42044086.860659502</v>
      </c>
      <c r="E25" s="186"/>
      <c r="F25" s="185">
        <v>25715294</v>
      </c>
      <c r="G25" s="186">
        <v>36200437.464039899</v>
      </c>
      <c r="H25" s="186"/>
      <c r="I25" s="185">
        <v>7115306</v>
      </c>
      <c r="J25" s="188">
        <v>5843649.3966200296</v>
      </c>
    </row>
    <row r="26" spans="1:10">
      <c r="A26" s="441" t="s">
        <v>326</v>
      </c>
      <c r="B26" s="442"/>
      <c r="C26" s="185">
        <v>7951767</v>
      </c>
      <c r="D26" s="186">
        <v>4643370.6538700098</v>
      </c>
      <c r="E26" s="186"/>
      <c r="F26" s="185">
        <v>6002580</v>
      </c>
      <c r="G26" s="186">
        <v>3931820.2415600098</v>
      </c>
      <c r="H26" s="186"/>
      <c r="I26" s="185">
        <v>1949187</v>
      </c>
      <c r="J26" s="188">
        <v>711550.41231000097</v>
      </c>
    </row>
    <row r="27" spans="1:10">
      <c r="A27" s="441" t="s">
        <v>327</v>
      </c>
      <c r="B27" s="442"/>
      <c r="C27" s="185">
        <v>7160985</v>
      </c>
      <c r="D27" s="186">
        <v>8889972.1856599692</v>
      </c>
      <c r="E27" s="186"/>
      <c r="F27" s="185">
        <v>5762126</v>
      </c>
      <c r="G27" s="186">
        <v>7611823.98783</v>
      </c>
      <c r="H27" s="186"/>
      <c r="I27" s="185">
        <v>1398859</v>
      </c>
      <c r="J27" s="188">
        <v>1278148.19783</v>
      </c>
    </row>
    <row r="28" spans="1:10">
      <c r="A28" s="439" t="s">
        <v>328</v>
      </c>
      <c r="B28" s="440"/>
      <c r="C28" s="185">
        <v>18390165</v>
      </c>
      <c r="D28" s="186">
        <v>25424082.42289</v>
      </c>
      <c r="E28" s="186"/>
      <c r="F28" s="185">
        <v>14410838</v>
      </c>
      <c r="G28" s="186">
        <v>21395899.419270001</v>
      </c>
      <c r="H28" s="186"/>
      <c r="I28" s="185">
        <v>3979327</v>
      </c>
      <c r="J28" s="188">
        <v>4028183.0036200099</v>
      </c>
    </row>
    <row r="29" spans="1:10">
      <c r="A29" s="439" t="s">
        <v>329</v>
      </c>
      <c r="B29" s="440"/>
      <c r="C29" s="185">
        <v>31557734</v>
      </c>
      <c r="D29" s="186">
        <v>182174374.98407999</v>
      </c>
      <c r="E29" s="186"/>
      <c r="F29" s="185">
        <v>25165879</v>
      </c>
      <c r="G29" s="186">
        <v>159765515.97685</v>
      </c>
      <c r="H29" s="186"/>
      <c r="I29" s="185">
        <v>6391855</v>
      </c>
      <c r="J29" s="188">
        <v>22408859.007229999</v>
      </c>
    </row>
    <row r="30" spans="1:10">
      <c r="A30" s="192" t="s">
        <v>330</v>
      </c>
      <c r="B30" s="193"/>
      <c r="C30" s="185">
        <v>20352976</v>
      </c>
      <c r="D30" s="186">
        <v>49142476.797049798</v>
      </c>
      <c r="E30" s="186"/>
      <c r="F30" s="185">
        <v>16326459</v>
      </c>
      <c r="G30" s="186">
        <v>40796298.925309598</v>
      </c>
      <c r="H30" s="186"/>
      <c r="I30" s="185">
        <v>4026517</v>
      </c>
      <c r="J30" s="188">
        <v>8346177.8717399696</v>
      </c>
    </row>
    <row r="31" spans="1:10">
      <c r="A31" s="433" t="s">
        <v>331</v>
      </c>
      <c r="B31" s="434"/>
      <c r="C31" s="185">
        <v>5676793</v>
      </c>
      <c r="D31" s="186">
        <v>6925697.6078999704</v>
      </c>
      <c r="E31" s="186"/>
      <c r="F31" s="185">
        <v>4389923</v>
      </c>
      <c r="G31" s="186">
        <v>6079257.16058998</v>
      </c>
      <c r="H31" s="186"/>
      <c r="I31" s="185">
        <v>1286870</v>
      </c>
      <c r="J31" s="188">
        <v>846440.44730999798</v>
      </c>
    </row>
    <row r="32" spans="1:10">
      <c r="A32" s="433" t="s">
        <v>332</v>
      </c>
      <c r="B32" s="434"/>
      <c r="C32" s="185">
        <v>1160577</v>
      </c>
      <c r="D32" s="186">
        <v>23129641.999949999</v>
      </c>
      <c r="E32" s="186"/>
      <c r="F32" s="185">
        <v>980881</v>
      </c>
      <c r="G32" s="186">
        <v>20716588.045120001</v>
      </c>
      <c r="H32" s="186"/>
      <c r="I32" s="185">
        <v>179696</v>
      </c>
      <c r="J32" s="188">
        <v>2413053.9548300002</v>
      </c>
    </row>
    <row r="33" spans="1:10">
      <c r="A33" s="433" t="s">
        <v>333</v>
      </c>
      <c r="B33" s="434"/>
      <c r="C33" s="185">
        <v>14541958</v>
      </c>
      <c r="D33" s="186">
        <v>61568810.7602005</v>
      </c>
      <c r="E33" s="186"/>
      <c r="F33" s="185">
        <v>12048338</v>
      </c>
      <c r="G33" s="186">
        <v>54266294.6223104</v>
      </c>
      <c r="H33" s="186"/>
      <c r="I33" s="185">
        <v>2493620</v>
      </c>
      <c r="J33" s="188">
        <v>7302516.1378899999</v>
      </c>
    </row>
    <row r="34" spans="1:10">
      <c r="A34" s="189" t="s">
        <v>334</v>
      </c>
      <c r="B34" s="193"/>
      <c r="C34" s="185">
        <v>27758167</v>
      </c>
      <c r="D34" s="186">
        <v>41407747.818980701</v>
      </c>
      <c r="E34" s="186"/>
      <c r="F34" s="185">
        <v>22884066</v>
      </c>
      <c r="G34" s="186">
        <v>37907077.223520197</v>
      </c>
      <c r="H34" s="186"/>
      <c r="I34" s="185">
        <v>4874101</v>
      </c>
      <c r="J34" s="188">
        <v>3500670.5954599902</v>
      </c>
    </row>
    <row r="35" spans="1:10">
      <c r="A35" s="450" t="s">
        <v>335</v>
      </c>
      <c r="B35" s="451"/>
      <c r="C35" s="185">
        <v>24075271</v>
      </c>
      <c r="D35" s="186">
        <v>116939885.773479</v>
      </c>
      <c r="E35" s="186"/>
      <c r="F35" s="185">
        <v>19278046</v>
      </c>
      <c r="G35" s="186">
        <v>105841253.653789</v>
      </c>
      <c r="H35" s="186"/>
      <c r="I35" s="185">
        <v>4797225</v>
      </c>
      <c r="J35" s="188">
        <v>11098632.119689999</v>
      </c>
    </row>
    <row r="36" spans="1:10">
      <c r="A36" s="189" t="s">
        <v>336</v>
      </c>
      <c r="B36" s="193"/>
      <c r="C36" s="185">
        <v>15267881</v>
      </c>
      <c r="D36" s="186">
        <v>81367130.5522791</v>
      </c>
      <c r="E36" s="186"/>
      <c r="F36" s="185">
        <v>12105428</v>
      </c>
      <c r="G36" s="186">
        <v>73453759.128329501</v>
      </c>
      <c r="H36" s="186"/>
      <c r="I36" s="185">
        <v>3162453</v>
      </c>
      <c r="J36" s="188">
        <v>7913371.4239500295</v>
      </c>
    </row>
    <row r="37" spans="1:10">
      <c r="A37" s="189" t="s">
        <v>337</v>
      </c>
      <c r="B37" s="193"/>
      <c r="C37" s="185">
        <v>17229952</v>
      </c>
      <c r="D37" s="186">
        <v>25784034.756889999</v>
      </c>
      <c r="E37" s="186"/>
      <c r="F37" s="185">
        <v>14046626</v>
      </c>
      <c r="G37" s="186">
        <v>23284146.573199999</v>
      </c>
      <c r="H37" s="186"/>
      <c r="I37" s="185">
        <v>3183326</v>
      </c>
      <c r="J37" s="188">
        <v>2499888.1836899999</v>
      </c>
    </row>
    <row r="38" spans="1:10">
      <c r="A38" s="433" t="s">
        <v>338</v>
      </c>
      <c r="B38" s="434"/>
      <c r="C38" s="185">
        <v>2274397</v>
      </c>
      <c r="D38" s="186">
        <v>9788720.4643099904</v>
      </c>
      <c r="E38" s="186"/>
      <c r="F38" s="185">
        <v>1960503</v>
      </c>
      <c r="G38" s="186">
        <v>9103347.9522600006</v>
      </c>
      <c r="H38" s="186"/>
      <c r="I38" s="185">
        <v>313894</v>
      </c>
      <c r="J38" s="188">
        <v>685372.51205000002</v>
      </c>
    </row>
    <row r="39" spans="1:10">
      <c r="A39" s="439" t="s">
        <v>339</v>
      </c>
      <c r="B39" s="440"/>
      <c r="C39" s="185">
        <v>33116513</v>
      </c>
      <c r="D39" s="186">
        <v>69656408.828260198</v>
      </c>
      <c r="E39" s="186"/>
      <c r="F39" s="185">
        <v>25943575</v>
      </c>
      <c r="G39" s="186">
        <v>60096463.607170403</v>
      </c>
      <c r="H39" s="186"/>
      <c r="I39" s="185">
        <v>7172938</v>
      </c>
      <c r="J39" s="188">
        <v>9559945.2210900709</v>
      </c>
    </row>
    <row r="40" spans="1:10">
      <c r="A40" s="421" t="s">
        <v>340</v>
      </c>
      <c r="B40" s="422"/>
      <c r="C40" s="185">
        <v>33018394</v>
      </c>
      <c r="D40" s="186">
        <v>51676255.6739401</v>
      </c>
      <c r="E40" s="186"/>
      <c r="F40" s="185">
        <v>25865024</v>
      </c>
      <c r="G40" s="186">
        <v>43983465.637079999</v>
      </c>
      <c r="H40" s="186"/>
      <c r="I40" s="185">
        <v>7153370</v>
      </c>
      <c r="J40" s="188">
        <v>7692790.0368600097</v>
      </c>
    </row>
    <row r="41" spans="1:10">
      <c r="A41" s="189" t="s">
        <v>341</v>
      </c>
      <c r="B41" s="193"/>
      <c r="C41" s="185">
        <v>7120831</v>
      </c>
      <c r="D41" s="186">
        <v>3091265.5182999698</v>
      </c>
      <c r="E41" s="186"/>
      <c r="F41" s="185">
        <v>5587432</v>
      </c>
      <c r="G41" s="186">
        <v>2705901.1678899899</v>
      </c>
      <c r="H41" s="186"/>
      <c r="I41" s="185">
        <v>1533399</v>
      </c>
      <c r="J41" s="188">
        <v>385364.350410001</v>
      </c>
    </row>
    <row r="42" spans="1:10">
      <c r="A42" s="194" t="s">
        <v>342</v>
      </c>
      <c r="B42" s="195"/>
      <c r="C42" s="185">
        <v>8412130</v>
      </c>
      <c r="D42" s="186">
        <v>14888887.636019999</v>
      </c>
      <c r="E42" s="186"/>
      <c r="F42" s="185">
        <v>6859293</v>
      </c>
      <c r="G42" s="186">
        <v>13407096.802200001</v>
      </c>
      <c r="H42" s="186"/>
      <c r="I42" s="185">
        <v>1552837</v>
      </c>
      <c r="J42" s="188">
        <v>1481790.8338200001</v>
      </c>
    </row>
    <row r="43" spans="1:10">
      <c r="A43" s="196" t="s">
        <v>343</v>
      </c>
      <c r="B43" s="159"/>
      <c r="C43" s="160">
        <v>10919275</v>
      </c>
      <c r="D43" s="161">
        <v>27558486.355549902</v>
      </c>
      <c r="E43" s="161"/>
      <c r="F43" s="160">
        <v>8785377</v>
      </c>
      <c r="G43" s="161">
        <v>24574269.09832</v>
      </c>
      <c r="H43" s="161"/>
      <c r="I43" s="160">
        <v>2133898</v>
      </c>
      <c r="J43" s="197">
        <v>2984217.2572300001</v>
      </c>
    </row>
    <row r="44" spans="1:10">
      <c r="A44" s="183"/>
      <c r="B44" s="162"/>
      <c r="C44" s="186"/>
      <c r="D44" s="186"/>
      <c r="E44" s="186"/>
      <c r="F44" s="186"/>
      <c r="G44" s="186"/>
      <c r="H44" s="186"/>
      <c r="I44" s="186"/>
      <c r="J44" s="188"/>
    </row>
    <row r="45" spans="1:10">
      <c r="A45" s="452" t="s">
        <v>344</v>
      </c>
      <c r="B45" s="453"/>
      <c r="C45" s="453"/>
      <c r="D45" s="453"/>
      <c r="E45" s="453"/>
      <c r="F45" s="453"/>
      <c r="G45" s="453"/>
      <c r="H45" s="453"/>
      <c r="I45" s="453"/>
      <c r="J45" s="454"/>
    </row>
    <row r="46" spans="1:10">
      <c r="A46" s="198" t="s">
        <v>345</v>
      </c>
      <c r="B46" s="199"/>
      <c r="C46" s="45"/>
      <c r="D46" s="45"/>
      <c r="E46" s="45"/>
      <c r="F46" s="45"/>
      <c r="G46" s="45"/>
      <c r="H46" s="45"/>
      <c r="I46" s="45"/>
      <c r="J46" s="118"/>
    </row>
    <row r="47" spans="1:10">
      <c r="A47" s="198" t="s">
        <v>346</v>
      </c>
      <c r="B47" s="200"/>
      <c r="C47" s="201"/>
      <c r="D47" s="201"/>
      <c r="E47" s="45"/>
      <c r="F47" s="45"/>
      <c r="G47" s="45"/>
      <c r="H47" s="45"/>
      <c r="I47" s="45"/>
      <c r="J47" s="118"/>
    </row>
    <row r="48" spans="1:10">
      <c r="A48" s="455" t="s">
        <v>347</v>
      </c>
      <c r="B48" s="456"/>
      <c r="C48" s="456"/>
      <c r="D48" s="199"/>
      <c r="E48" s="45"/>
      <c r="F48" s="45"/>
      <c r="G48" s="45"/>
      <c r="H48" s="45"/>
      <c r="I48" s="45"/>
      <c r="J48" s="118"/>
    </row>
    <row r="49" spans="1:15">
      <c r="A49" s="443" t="s">
        <v>348</v>
      </c>
      <c r="B49" s="444"/>
      <c r="C49" s="444"/>
      <c r="D49" s="199"/>
      <c r="E49" s="45"/>
      <c r="F49" s="45"/>
      <c r="G49" s="45"/>
      <c r="H49" s="45"/>
      <c r="I49" s="45"/>
      <c r="J49" s="118"/>
    </row>
    <row r="50" spans="1:15">
      <c r="A50" s="445" t="s">
        <v>349</v>
      </c>
      <c r="B50" s="446"/>
      <c r="C50" s="446"/>
      <c r="D50" s="446"/>
      <c r="E50" s="446"/>
      <c r="F50" s="446"/>
      <c r="G50" s="446"/>
      <c r="H50" s="446"/>
      <c r="I50" s="446"/>
      <c r="J50" s="447"/>
    </row>
    <row r="51" spans="1:15">
      <c r="A51" s="202">
        <v>1</v>
      </c>
      <c r="B51" s="448" t="s">
        <v>350</v>
      </c>
      <c r="C51" s="448"/>
      <c r="D51" s="448"/>
      <c r="E51" s="448"/>
      <c r="F51" s="448"/>
      <c r="G51" s="448"/>
      <c r="H51" s="448"/>
      <c r="I51" s="448"/>
      <c r="J51" s="449"/>
    </row>
    <row r="52" spans="1:15" ht="16.5" thickBot="1">
      <c r="A52" s="203" t="s">
        <v>351</v>
      </c>
      <c r="B52" s="204"/>
      <c r="C52" s="205"/>
      <c r="D52" s="205"/>
      <c r="E52" s="205"/>
      <c r="F52" s="205"/>
      <c r="G52" s="205"/>
      <c r="H52" s="205"/>
      <c r="I52" s="205"/>
      <c r="J52" s="206"/>
    </row>
    <row r="59" spans="1:15" ht="31.5">
      <c r="A59" s="1" t="s">
        <v>352</v>
      </c>
      <c r="B59" s="1">
        <v>2005</v>
      </c>
      <c r="C59" s="1">
        <v>2006</v>
      </c>
      <c r="D59" s="1">
        <v>2007</v>
      </c>
      <c r="E59" s="1">
        <v>2008</v>
      </c>
      <c r="F59" s="1">
        <v>2009</v>
      </c>
      <c r="G59" s="1">
        <v>2010</v>
      </c>
      <c r="H59" s="1">
        <v>2011</v>
      </c>
      <c r="I59" s="1">
        <v>2012</v>
      </c>
      <c r="J59" s="1">
        <v>2013</v>
      </c>
      <c r="K59" s="1">
        <v>2014</v>
      </c>
      <c r="L59" s="1">
        <v>2015</v>
      </c>
      <c r="M59" s="1">
        <v>2016</v>
      </c>
      <c r="N59" s="1">
        <v>2017</v>
      </c>
      <c r="O59" s="163" t="s">
        <v>356</v>
      </c>
    </row>
    <row r="60" spans="1:15">
      <c r="A60" s="1" t="s">
        <v>353</v>
      </c>
      <c r="B60" s="33">
        <f>((26966.7+65108.8)*100)/877476.9</f>
        <v>10.493210704464129</v>
      </c>
      <c r="C60" s="33">
        <f>((30001.1+74556.6)*100)/975383.4</f>
        <v>10.719651369912592</v>
      </c>
      <c r="D60" s="33">
        <f>((33493.8+83942)*100)/1052697.1</f>
        <v>11.15570661304187</v>
      </c>
      <c r="E60" s="33">
        <f>((35079.8+95282.3)*100)/1109987.4</f>
        <v>11.744466648900699</v>
      </c>
      <c r="F60" s="33">
        <f>((29175+58477)*100)/900047</f>
        <v>9.7386025396451519</v>
      </c>
      <c r="G60" s="33">
        <f>((34052.2+76104.7)*100)/1057800.6</f>
        <v>10.413767963451711</v>
      </c>
      <c r="H60" s="33">
        <f>((36458.9+103058.2)*100)/1180487.2</f>
        <v>11.818603369862885</v>
      </c>
      <c r="I60" s="33">
        <f>((38121.8+98118.5)*100)/1201093.8</f>
        <v>11.343019171358637</v>
      </c>
      <c r="J60" s="33">
        <f>((40002+90322.6)*100)/1274443.9</f>
        <v>10.2259973938437</v>
      </c>
      <c r="K60" s="33">
        <f>((41198.1+86582.7)*100)/1315356.1</f>
        <v>9.714540419890854</v>
      </c>
      <c r="L60" s="33">
        <f>((37405.2+46243.8)*100)/1171870.1</f>
        <v>7.1380778466828358</v>
      </c>
      <c r="M60" s="33">
        <f>((36091.4+39087.4)*100)/1078493.1</f>
        <v>6.9707260992212188</v>
      </c>
      <c r="N60" s="33">
        <f>((39183.7+47490.5)*100)/1158912</f>
        <v>7.4789285122597748</v>
      </c>
      <c r="O60" s="164">
        <f>AVERAGE(B60:N60)</f>
        <v>9.9196383578873899</v>
      </c>
    </row>
    <row r="61" spans="1:15">
      <c r="A61" s="1" t="s">
        <v>354</v>
      </c>
      <c r="B61" s="34">
        <f t="shared" ref="B61:N61" si="0">100-B60</f>
        <v>89.506789295535867</v>
      </c>
      <c r="C61" s="34">
        <f t="shared" si="0"/>
        <v>89.280348630087403</v>
      </c>
      <c r="D61" s="34">
        <f t="shared" si="0"/>
        <v>88.844293386958128</v>
      </c>
      <c r="E61" s="34">
        <f t="shared" si="0"/>
        <v>88.255533351099302</v>
      </c>
      <c r="F61" s="34">
        <f t="shared" si="0"/>
        <v>90.261397460354843</v>
      </c>
      <c r="G61" s="34">
        <f t="shared" si="0"/>
        <v>89.586232036548296</v>
      </c>
      <c r="H61" s="34">
        <f t="shared" si="0"/>
        <v>88.181396630137115</v>
      </c>
      <c r="I61" s="34">
        <f t="shared" si="0"/>
        <v>88.656980828641366</v>
      </c>
      <c r="J61" s="34">
        <f t="shared" si="0"/>
        <v>89.774002606156301</v>
      </c>
      <c r="K61" s="34">
        <f t="shared" si="0"/>
        <v>90.285459580109148</v>
      </c>
      <c r="L61" s="34">
        <f t="shared" si="0"/>
        <v>92.861922153317167</v>
      </c>
      <c r="M61" s="34">
        <f t="shared" si="0"/>
        <v>93.029273900778776</v>
      </c>
      <c r="N61" s="34">
        <f t="shared" si="0"/>
        <v>92.52107148774023</v>
      </c>
      <c r="O61" s="164">
        <f>AVERAGE(B61:N61)</f>
        <v>90.080361642112621</v>
      </c>
    </row>
    <row r="62" spans="1:15">
      <c r="A62" t="s">
        <v>355</v>
      </c>
    </row>
  </sheetData>
  <mergeCells count="27">
    <mergeCell ref="A49:C49"/>
    <mergeCell ref="A50:J50"/>
    <mergeCell ref="B51:J51"/>
    <mergeCell ref="A35:B35"/>
    <mergeCell ref="A38:B38"/>
    <mergeCell ref="A39:B39"/>
    <mergeCell ref="A40:B40"/>
    <mergeCell ref="A45:J45"/>
    <mergeCell ref="A48:C48"/>
    <mergeCell ref="A33:B33"/>
    <mergeCell ref="A17:B17"/>
    <mergeCell ref="A19:B19"/>
    <mergeCell ref="A21:B21"/>
    <mergeCell ref="A24:B24"/>
    <mergeCell ref="A25:B25"/>
    <mergeCell ref="A26:B26"/>
    <mergeCell ref="A27:B27"/>
    <mergeCell ref="A28:B28"/>
    <mergeCell ref="A29:B29"/>
    <mergeCell ref="A31:B31"/>
    <mergeCell ref="A32:B32"/>
    <mergeCell ref="A14:B14"/>
    <mergeCell ref="A7:I7"/>
    <mergeCell ref="A8:B10"/>
    <mergeCell ref="F9:G9"/>
    <mergeCell ref="I9:J9"/>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Citation</vt:lpstr>
      <vt:lpstr>MVMA data</vt:lpstr>
      <vt:lpstr>Mexico data</vt:lpstr>
      <vt:lpstr>Factor U_Mexico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mdpi</cp:lastModifiedBy>
  <dcterms:created xsi:type="dcterms:W3CDTF">2020-11-16T01:35:21Z</dcterms:created>
  <dcterms:modified xsi:type="dcterms:W3CDTF">2021-01-14T04:02:43Z</dcterms:modified>
</cp:coreProperties>
</file>